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12x36 HORAS OU 44 HORAS" sheetId="4" state="visible" r:id="rId5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'DADOS-ESTATISTICOS'!$F$28</definedName>
    <definedName function="false" hidden="false" name="DIAS_LICENCA_MATERNIDADE" vbProcedure="false">'DADOS-ESTATISTICOS'!$F$34</definedName>
    <definedName function="false" hidden="false" name="DIAS_LICENCA_PATERNIDADE" vbProcedure="false">'DADOS-ESTATISTICOS'!$F$29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'DADOS-ESTATISTICOS'!$F$23</definedName>
    <definedName function="false" hidden="false" name="DIAS_PAGOS_EMPRESA_ACID_TRAB" vbProcedure="false">'DADOS-ESTATISTICOS'!$F$33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'INSERÇÃO-DE-DADOS'!$F$62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'INSERÇÃO-DE-DADOS'!$F$61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'INSERÇÃO-DE-DADOS'!$C$51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'INSERÇÃO-DE-DADOS'!$F$63</definedName>
    <definedName function="false" hidden="false" name="OUTROS_INSUMOS_DESCRICAO" vbProcedure="false">'INSERÇÃO-DE-DADOS'!$C$63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'INSERÇÃO-DE-DADOS'!$F$70</definedName>
    <definedName function="false" hidden="false" name="PERC_CONTRIB_SOCIAL" vbProcedure="false">'DADOS-ESTATISTICOS'!$F$21</definedName>
    <definedName function="false" hidden="false" name="PERC_CUSTOS_INDIRETOS" vbProcedure="false">'INSERÇÃO-DE-DADOS'!$F$67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'DADOS-ESTATISTICOS'!$F$32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'DADOS-ESTATISTICOS'!$F$22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'INSERÇÃO-DE-DADOS'!$F$55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'INSERÇÃO-DE-DADOS'!$F$71</definedName>
    <definedName function="false" hidden="false" name="PERC_LUCRO" vbProcedure="false">'INSERÇÃO-DE-DADOS'!$F$68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'DADOS-ESTATISTICOS'!$F$30</definedName>
    <definedName function="false" hidden="false" name="PERC_PARTIC_FEM_VIGIL" vbProcedure="false">'DADOS-ESTATISTICOS'!$F$35</definedName>
    <definedName function="false" hidden="false" name="PERC_PARTIC_MASC_VIGIL" vbProcedure="false">'DADOS-ESTATISTICOS'!$F$31</definedName>
    <definedName function="false" hidden="false" name="PERC_PIS" vbProcedure="false">'INSERÇÃO-DE-DADOS'!$F$69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'INSERÇÃO-DE-DADOS'!$F$51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'INSERÇÃO-DE-DADOS'!$F$56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'INSERÇÃO-DE-DADOS'!$F$60</definedName>
    <definedName function="false" hidden="false" localSheetId="3" name="AL_1_A_SAL_BASE" vbProcedure="false">'POSTO 12x36 HORAS OU 44 HORAS'!$F$22</definedName>
    <definedName function="false" hidden="false" localSheetId="3" name="AL_1_B_ADIC_PERIC" vbProcedure="false">'POSTO 12x36 HORAS OU 44 HORAS'!$F$23</definedName>
    <definedName function="false" hidden="false" localSheetId="3" name="AL_1_C_ADIC_NOT" vbProcedure="false">'POSTO 12x36 HORAS OU 44 HORAS'!$F$24</definedName>
    <definedName function="false" hidden="false" localSheetId="3" name="AL_1_D_ADIC_NOT_RED" vbProcedure="false">'POSTO 12x36 HORAS OU 44 HORAS'!$F$25</definedName>
    <definedName function="false" hidden="false" localSheetId="3" name="AL_2_1_A_DEC_TERC" vbProcedure="false">'POSTO 12x36 HORAS OU 44 HORAS'!$F$34</definedName>
    <definedName function="false" hidden="false" localSheetId="3" name="AL_2_1_B_ADIC_FERIAS" vbProcedure="false">'POSTO 12x36 HORAS OU 44 HORAS'!$F$35</definedName>
    <definedName function="false" hidden="false" localSheetId="3" name="AL_2_2_FGTS" vbProcedure="false">'POSTO 12x36 HORAS OU 44 HORAS'!$F$46</definedName>
    <definedName function="false" hidden="false" localSheetId="3" name="AL_2_3_A_TRANSP" vbProcedure="false">'POSTO 12x36 HORAS OU 44 HORAS'!$F$50</definedName>
    <definedName function="false" hidden="false" localSheetId="3" name="AL_2_3_B_AUX_ALIMENT" vbProcedure="false">'POSTO 12x36 HORAS OU 44 HORAS'!$F$51</definedName>
    <definedName function="false" hidden="false" localSheetId="3" name="AL_2_3_C_OUTROS_BENEF" vbProcedure="false">'POSTO 12x36 HORAS OU 44 HORAS'!$F$52</definedName>
    <definedName function="false" hidden="false" localSheetId="3" name="AL_2_A_ATE_2_G_GPS" vbProcedure="false">'POSTO 12x36 HORAS OU 44 HORAS'!$F$39:$F$45</definedName>
    <definedName function="false" hidden="false" localSheetId="3" name="AL_6_A_CUSTOS_INDIRETOS" vbProcedure="false">'POSTO 12x36 HORAS OU 44 HORAS'!$F$91</definedName>
    <definedName function="false" hidden="false" localSheetId="3" name="AL_6_B_LUCRO" vbProcedure="false">'POSTO 12x36 HORAS OU 44 HORAS'!$F$92</definedName>
    <definedName function="false" hidden="false" localSheetId="3" name="AL_6_C_1_PIS" vbProcedure="false">'POSTO 12x36 HORAS OU 44 HORAS'!$F$94</definedName>
    <definedName function="false" hidden="false" localSheetId="3" name="AL_6_C_2_COFINS" vbProcedure="false">'POSTO 12x36 HORAS OU 44 HORAS'!$F$95</definedName>
    <definedName function="false" hidden="false" localSheetId="3" name="AL_6_C_3_ISS" vbProcedure="false">'POSTO 12x36 HORAS OU 44 HORAS'!$F$96</definedName>
    <definedName function="false" hidden="false" localSheetId="3" name="AL_6_C_TRIBUTOS" vbProcedure="false">'POSTO 12x36 HORAS OU 44 HORAS'!$F$93</definedName>
    <definedName function="false" hidden="false" localSheetId="3" name="MOD_1_REMUNERACAO" vbProcedure="false">'POSTO 12x36 HORAS OU 44 HORAS'!$F$30</definedName>
    <definedName function="false" hidden="false" localSheetId="3" name="MOD_2_ENCARGOS_BENEFICIOS" vbProcedure="false">'POSTO 12x36 HORAS OU 44 HORAS'!$F$36+'POSTO 12x36 HORAS OU 44 HORAS'!$F$47+'POSTO 12x36 HORAS OU 44 HORAS'!$F$55</definedName>
    <definedName function="false" hidden="false" localSheetId="3" name="MOD_3_PROVISAO_RESCISAO" vbProcedure="false">'POSTO 12x36 HORAS OU 44 HORAS'!$F$64</definedName>
    <definedName function="false" hidden="false" localSheetId="3" name="MOD_4_CUSTO_REPOSICAO" vbProcedure="false">'POSTO 12x36 HORAS OU 44 HORAS'!$F$75+'POSTO 12x36 HORAS OU 44 HORAS'!$F$79</definedName>
    <definedName function="false" hidden="false" localSheetId="3" name="MOD_5_INSUMOS" vbProcedure="false">'POSTO 12x36 HORAS OU 44 HORAS'!$F$87</definedName>
    <definedName function="false" hidden="false" localSheetId="3" name="MOD_6_CUSTOS_IND_LUCRO_TRIB" vbProcedure="false">'POSTO 12x36 HORAS OU 44 HORAS'!$F$97</definedName>
    <definedName function="false" hidden="false" localSheetId="3" name="PERC_MOD_3_PROVISAO_RESCISAO" vbProcedure="false">'POSTO 12x36 HORAS OU 44 HORAS'!$E$64</definedName>
    <definedName function="false" hidden="false" localSheetId="3" name="PERC_TRIBUTOS" vbProcedure="false">'POSTO 12x36 HORAS OU 44 HORAS'!$E$93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12x36 HORAS OU 44 HORAS'!$F$36</definedName>
    <definedName function="false" hidden="false" localSheetId="3" name="SUBMOD_2_2_GPS_FGTS" vbProcedure="false">'POSTO 12x36 HORAS OU 44 HORAS'!$F$47</definedName>
    <definedName function="false" hidden="false" localSheetId="3" name="SUBMOD_2_3_BENEFICIOS" vbProcedure="false">'POSTO 12x36 HORAS OU 44 HORAS'!$F$55</definedName>
    <definedName function="false" hidden="false" localSheetId="3" name="SUBMOD_4_1_SUBSTITUTO" vbProcedure="false">'POSTO 12x36 HORAS OU 44 HORAS'!$F$75</definedName>
    <definedName function="false" hidden="false" localSheetId="3" name="SUBMOD_4_2_INTRAJORNADA" vbProcedure="false">'POSTO 12x36 HORAS OU 44 HORAS'!$F$79</definedName>
    <definedName function="false" hidden="false" localSheetId="3" name="VALOR_TOTAL_EMPREGADO" vbProcedure="false">'POSTO 12x36 HORAS OU 44 HORAS'!$F$106</definedName>
    <definedName function="false" hidden="false" localSheetId="3" name="VALOR_TOTAL_POSTO" vbProcedure="false">'POSTO 12x36 HORAS OU 44 HORAS'!$F$107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<sst xmlns="http://schemas.openxmlformats.org/spreadsheetml/2006/main" count="444" uniqueCount="202">
  <si>
    <t xml:space="preserve">RAMO: MINISTÉRIO PÚBLICO FEDERAL</t>
  </si>
  <si>
    <t xml:space="preserve">UNIDADE GESTORA (SIGLA): PR/AP</t>
  </si>
  <si>
    <t xml:space="preserve">DATA:</t>
  </si>
  <si>
    <t xml:space="preserve">CUSTOS REFERENTES AOS SERVIÇOS CONTRATADOS</t>
  </si>
  <si>
    <t xml:space="preserve">Dados referentes à licitação</t>
  </si>
  <si>
    <t xml:space="preserve">Nº do Processo (X.XX.XXX.XXXXXX/XXXX-XX)</t>
  </si>
  <si>
    <t xml:space="preserve">1.12.000.001095/2019-21</t>
  </si>
  <si>
    <t xml:space="preserve">Modalidade de Licitação nº (XX/AAAA)</t>
  </si>
  <si>
    <t xml:space="preserve">Pregão nº</t>
  </si>
  <si>
    <t xml:space="preserve">XX/20XX</t>
  </si>
  <si>
    <t xml:space="preserve">Data / Horário</t>
  </si>
  <si>
    <t xml:space="preserve">XX/XX/20XX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</si>
  <si>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</si>
  <si>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</si>
  <si>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</si>
  <si>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</si>
  <si>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</si>
  <si>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</si>
  <si>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Sede e Anexo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</si>
  <si>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</si>
  <si>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</si>
  <si>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</si>
  <si>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</si>
  <si>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(MM/AAAA)</t>
  </si>
  <si>
    <t xml:space="preserve">XX/2019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</si>
  <si>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</si>
  <si>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</si>
  <si>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</si>
  <si>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</si>
  <si>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</si>
  <si>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</si>
  <si>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</si>
  <si>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</si>
  <si>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Prestação do serviço de garçom na Procuradoria da República no Estado do Amapá.</t>
  </si>
  <si>
    <t xml:space="preserve">posto</t>
  </si>
  <si>
    <t xml:space="preserve">Mão de obra</t>
  </si>
  <si>
    <t xml:space="preserve">Classificação Brasileira de Ocupações (CBO)</t>
  </si>
  <si>
    <t xml:space="preserve">5134-05</t>
  </si>
  <si>
    <t xml:space="preserve">Categoria Profissional (vinculada à execução contratual)</t>
  </si>
  <si>
    <t xml:space="preserve">GARÇOM I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</si>
  <si>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</si>
  <si>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</si>
  <si>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</si>
  <si>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</si>
  <si>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</si>
  <si>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</si>
  <si>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</si>
  <si>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</si>
  <si>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</si>
  <si>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</si>
  <si>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</si>
  <si>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</si>
  <si>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</si>
  <si>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</si>
  <si>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</si>
  <si>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</si>
  <si>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</si>
  <si>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</si>
  <si>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</si>
  <si>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</si>
  <si>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</si>
  <si>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</si>
  <si>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</si>
  <si>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</si>
  <si>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</si>
  <si>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</si>
  <si>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Auxílio Funeral</t>
  </si>
  <si>
    <t xml:space="preserve">Outros Benefícios 2 (Especificar)</t>
  </si>
  <si>
    <t xml:space="preserve">Outros Benefícios 3 (Especificar)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</si>
  <si>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</si>
  <si>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</si>
  <si>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</si>
  <si>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</si>
  <si>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</si>
  <si>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</si>
  <si>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</si>
  <si>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</si>
  <si>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</si>
  <si>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</si>
  <si>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</si>
  <si>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</si>
  <si>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</si>
  <si>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</si>
  <si>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</si>
  <si>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</si>
  <si>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</si>
  <si>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</t>
  </si>
  <si>
    <t xml:space="preserve">Outros (Especificar)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</si>
  <si>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</si>
  <si>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</si>
  <si>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</si>
  <si>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</si>
  <si>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</si>
  <si>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</si>
  <si>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</si>
  <si>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</si>
  <si>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</si>
  <si>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</si>
  <si>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</si>
  <si>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</si>
  <si>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</si>
  <si>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</si>
  <si>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</si>
  <si>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</si>
  <si>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</si>
  <si>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</si>
  <si>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</si>
  <si>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</si>
  <si>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</si>
  <si>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</si>
  <si>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</si>
  <si>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</si>
  <si>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</si>
  <si>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</si>
  <si>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</si>
  <si>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</si>
  <si>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</si>
  <si>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</si>
  <si>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</si>
  <si>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</si>
  <si>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Contribuição Social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</si>
  <si>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</si>
  <si>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</si>
  <si>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</si>
  <si>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</si>
  <si>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</si>
  <si>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</si>
  <si>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</si>
  <si>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</si>
  <si>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</si>
  <si>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</si>
  <si>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</si>
  <si>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</si>
  <si>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</si>
  <si>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</si>
  <si>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</si>
  <si>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</si>
  <si>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</si>
  <si>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</si>
  <si>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</si>
  <si>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</si>
  <si>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</si>
  <si>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</si>
  <si>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</si>
  <si>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</si>
  <si>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</si>
  <si>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</si>
  <si>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</si>
  <si>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</si>
  <si>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</si>
  <si>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</si>
  <si>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</si>
  <si>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</si>
  <si>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</si>
  <si>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</si>
  <si>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</si>
  <si>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</si>
  <si>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[(62,93%) x 5,55% x (1/12)] x 100</t>
  </si>
  <si>
    <t xml:space="preserve">Incidência do FGTS sobre o Aviso Prévio Indenizado</t>
  </si>
  <si>
    <t xml:space="preserve">(8,00% x 0,29%) x 100</t>
  </si>
  <si>
    <t xml:space="preserve">Multa do FGTS e Contribuição Social sobre o Aviso Prévio Indenizado</t>
  </si>
  <si>
    <t xml:space="preserve">[(0,29%) x (40% + 10%) x 8,00%] x 100</t>
  </si>
  <si>
    <t xml:space="preserve">Aviso Prévio Trabalhado</t>
  </si>
  <si>
    <t xml:space="preserve">[(62,93%) x 94,45% x (7/30)/12] x 100</t>
  </si>
  <si>
    <t xml:space="preserve">Incidência de GPS, FGTS e Outras Contribuições sobre Aviso Prévio Trabalhado</t>
  </si>
  <si>
    <t xml:space="preserve">(36,80% x 1,16%) x 100</t>
  </si>
  <si>
    <t xml:space="preserve">Multa do FGTS e Contribuição Social sobre o Aviso Prévio Trabalhado</t>
  </si>
  <si>
    <t xml:space="preserve">[(1,16%) x (40% + 10%)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</si>
  <si>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</si>
  <si>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</si>
  <si>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</si>
  <si>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</si>
  <si>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</si>
  <si>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</si>
  <si>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</si>
  <si>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</si>
  <si>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</si>
  <si>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</si>
  <si>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</si>
  <si>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Nº do Processo</t>
  </si>
  <si>
    <t xml:space="preserve">Modalidade de Licitação</t>
  </si>
  <si>
    <t xml:space="preserve">DISCRIMINAÇÃO DOS SERVIÇOS (DADOS REFERENTES À CONTRATAÇÃO)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</si>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</sst>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/MM/YY"/>
    <numFmt numFmtId="166" formatCode="@"/>
    <numFmt numFmtId="167" formatCode="D/M/YYYY"/>
    <numFmt numFmtId="168" formatCode="#,##0.00"/>
    <numFmt numFmtId="169" formatCode="#,##0.00_);\(#,##0.00\)"/>
    <numFmt numFmtId="170" formatCode="#,##0"/>
    <numFmt numFmtId="171" formatCode="#,##0_);\(#,##0\)"/>
    <numFmt numFmtId="172" formatCode="#,##0.0"/>
    <numFmt numFmtId="173" formatCode="0.00"/>
    <numFmt numFmtId="174" formatCode="#,##0.00_ ;\-#,##0.00\ "/>
  </numFmts>
  <fonts count="2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3366"/>
      <name val="Cambria"/>
      <family val="2"/>
      <charset val="1"/>
    </font>
    <font>
      <b val="true"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sz val="11"/>
      <name val="Segoe UI Light"/>
      <family val="2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1" applyFont="true" applyBorder="true" applyAlignment="true" applyProtection="false">
      <alignment horizontal="general" vertical="bottom" textRotation="0" wrapText="false" indent="0" shrinkToFit="false"/>
    </xf>
  </cellStyleXfs>
  <cellXfs count="1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3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9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4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0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1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1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7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9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4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0" fillId="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4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1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6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1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1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ítulo 1 1" xfId="20" builtinId="53" customBuiltin="true"/>
    <cellStyle name="Título 1 1 1" xfId="21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F45" activeCellId="0" sqref="F45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2" t="s">
        <v>0</v>
      </c>
      <c r="C1" s="2"/>
      <c r="D1" s="2"/>
      <c r="E1" s="2"/>
      <c r="F1" s="2"/>
    </row>
    <row r="2" customFormat="false" ht="20.25" hidden="false" customHeight="false" outlineLevel="0" collapsed="false">
      <c r="B2" s="2" t="s">
        <v>1</v>
      </c>
      <c r="C2" s="2"/>
      <c r="D2" s="2"/>
      <c r="E2" s="3" t="s">
        <v>2</v>
      </c>
      <c r="F2" s="4" t="n">
        <v>43938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.5" hidden="false" customHeight="false" outlineLevel="0" collapsed="false">
      <c r="B4" s="6" t="s">
        <v>3</v>
      </c>
      <c r="C4" s="6"/>
      <c r="D4" s="6"/>
      <c r="E4" s="6"/>
      <c r="F4" s="6"/>
    </row>
    <row r="5" s="5" customFormat="true" ht="15.95" hidden="false" customHeight="true" outlineLevel="0" collapsed="false">
      <c r="B5" s="7" t="s">
        <v>4</v>
      </c>
      <c r="C5" s="7"/>
      <c r="D5" s="7"/>
      <c r="E5" s="7"/>
      <c r="F5" s="7"/>
    </row>
    <row r="6" s="5" customFormat="true" ht="15.95" hidden="false" customHeight="true" outlineLevel="0" collapsed="false">
      <c r="B6" s="8" t="s">
        <v>5</v>
      </c>
      <c r="C6" s="8"/>
      <c r="D6" s="9" t="s">
        <v>6</v>
      </c>
      <c r="E6" s="9"/>
      <c r="F6" s="9"/>
    </row>
    <row r="7" s="5" customFormat="true" ht="15.75" hidden="false" customHeight="true" outlineLevel="0" collapsed="false">
      <c r="B7" s="10" t="s">
        <v>7</v>
      </c>
      <c r="C7" s="10"/>
      <c r="D7" s="11" t="s">
        <v>8</v>
      </c>
      <c r="E7" s="11"/>
      <c r="F7" s="12" t="s">
        <v>9</v>
      </c>
    </row>
    <row r="8" s="5" customFormat="true" ht="15.75" hidden="false" customHeight="true" outlineLevel="0" collapsed="false">
      <c r="B8" s="8" t="s">
        <v>10</v>
      </c>
      <c r="C8" s="8"/>
      <c r="D8" s="12" t="s">
        <v>11</v>
      </c>
      <c r="E8" s="12"/>
      <c r="F8" s="12" t="s">
        <v>12</v>
      </c>
    </row>
    <row r="9" s="13" customFormat="true" ht="9.75" hidden="false" customHeight="true" outlineLevel="0" collapsed="false">
      <c r="C9" s="14"/>
      <c r="D9" s="15"/>
      <c r="E9" s="15"/>
      <c r="F9" s="16"/>
    </row>
    <row r="10" s="13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7" t="s">
        <v>14</v>
      </c>
      <c r="C11" s="8" t="s">
        <v>15</v>
      </c>
      <c r="D11" s="8"/>
      <c r="E11" s="8"/>
      <c r="F11" s="18" t="s">
        <v>11</v>
      </c>
    </row>
    <row r="12" s="5" customFormat="true" ht="15.95" hidden="false" customHeight="true" outlineLevel="0" collapsed="false">
      <c r="B12" s="19" t="s">
        <v>16</v>
      </c>
      <c r="C12" s="20" t="s">
        <v>17</v>
      </c>
      <c r="D12" s="21" t="s">
        <v>18</v>
      </c>
      <c r="E12" s="21"/>
      <c r="F12" s="21"/>
    </row>
    <row r="13" s="5" customFormat="true" ht="15.95" hidden="false" customHeight="true" outlineLevel="0" collapsed="false">
      <c r="B13" s="17" t="s">
        <v>19</v>
      </c>
      <c r="C13" s="8" t="s">
        <v>20</v>
      </c>
      <c r="D13" s="8"/>
      <c r="E13" s="8"/>
      <c r="F13" s="22" t="s">
        <v>21</v>
      </c>
    </row>
    <row r="14" s="5" customFormat="true" ht="18.75" hidden="false" customHeight="true" outlineLevel="0" collapsed="false">
      <c r="B14" s="19" t="s">
        <v>22</v>
      </c>
      <c r="C14" s="23" t="s">
        <v>23</v>
      </c>
      <c r="D14" s="23"/>
      <c r="E14" s="23"/>
      <c r="F14" s="12" t="s">
        <v>24</v>
      </c>
    </row>
    <row r="15" s="5" customFormat="true" ht="15.95" hidden="false" customHeight="true" outlineLevel="0" collapsed="false">
      <c r="B15" s="19" t="s">
        <v>25</v>
      </c>
      <c r="C15" s="8" t="s">
        <v>26</v>
      </c>
      <c r="D15" s="8"/>
      <c r="E15" s="8"/>
      <c r="F15" s="24" t="n">
        <v>12</v>
      </c>
    </row>
    <row r="16" s="5" customFormat="true" ht="15.95" hidden="false" customHeight="true" outlineLevel="0" collapsed="false">
      <c r="A16" s="13"/>
      <c r="B16" s="13"/>
      <c r="C16" s="14"/>
      <c r="D16" s="15"/>
      <c r="E16" s="15"/>
      <c r="F16" s="16"/>
    </row>
    <row r="17" s="5" customFormat="true" ht="16.5" hidden="false" customHeight="false" outlineLevel="0" collapsed="false">
      <c r="A17" s="13"/>
      <c r="B17" s="7" t="s">
        <v>27</v>
      </c>
      <c r="C17" s="7"/>
      <c r="D17" s="7"/>
      <c r="E17" s="7"/>
      <c r="F17" s="7"/>
    </row>
    <row r="18" s="25" customFormat="true" ht="49.5" hidden="false" customHeight="false" outlineLevel="0" collapsed="false">
      <c r="B18" s="26" t="s">
        <v>28</v>
      </c>
      <c r="C18" s="26" t="s">
        <v>29</v>
      </c>
      <c r="D18" s="27" t="s">
        <v>30</v>
      </c>
      <c r="E18" s="27" t="s">
        <v>31</v>
      </c>
      <c r="F18" s="27" t="s">
        <v>32</v>
      </c>
    </row>
    <row r="19" s="5" customFormat="true" ht="16.5" hidden="false" customHeight="true" outlineLevel="0" collapsed="false">
      <c r="B19" s="17" t="n">
        <v>1</v>
      </c>
      <c r="C19" s="28" t="s">
        <v>33</v>
      </c>
      <c r="D19" s="29" t="s">
        <v>34</v>
      </c>
      <c r="E19" s="30" t="n">
        <v>1</v>
      </c>
      <c r="F19" s="29" t="n">
        <v>1</v>
      </c>
    </row>
    <row r="20" s="5" customFormat="true" ht="15.95" hidden="false" customHeight="true" outlineLevel="0" collapsed="false">
      <c r="B20" s="31"/>
      <c r="C20" s="31"/>
      <c r="D20" s="31"/>
      <c r="E20" s="31"/>
      <c r="F20" s="31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A22" s="13"/>
      <c r="B22" s="17" t="n">
        <v>1</v>
      </c>
      <c r="C22" s="32" t="s">
        <v>36</v>
      </c>
      <c r="D22" s="9" t="s">
        <v>37</v>
      </c>
      <c r="E22" s="9"/>
      <c r="F22" s="9"/>
    </row>
    <row r="23" s="5" customFormat="true" ht="15.95" hidden="false" customHeight="true" outlineLevel="0" collapsed="false">
      <c r="B23" s="17" t="n">
        <v>2</v>
      </c>
      <c r="C23" s="33" t="s">
        <v>38</v>
      </c>
      <c r="D23" s="9" t="s">
        <v>39</v>
      </c>
      <c r="E23" s="9"/>
      <c r="F23" s="9"/>
    </row>
    <row r="24" s="5" customFormat="true" ht="15.95" hidden="false" customHeight="true" outlineLevel="0" collapsed="false">
      <c r="B24" s="17" t="n">
        <v>3</v>
      </c>
      <c r="C24" s="8" t="s">
        <v>40</v>
      </c>
      <c r="D24" s="8"/>
      <c r="E24" s="8"/>
      <c r="F24" s="18" t="n">
        <v>43466</v>
      </c>
    </row>
    <row r="25" s="5" customFormat="true" ht="15.95" hidden="false" customHeight="true" outlineLevel="0" collapsed="false">
      <c r="B25" s="17" t="n">
        <v>4</v>
      </c>
      <c r="C25" s="10" t="s">
        <v>41</v>
      </c>
      <c r="D25" s="10"/>
      <c r="E25" s="10"/>
      <c r="F25" s="34" t="n">
        <v>1045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.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9" t="n">
        <v>1</v>
      </c>
      <c r="C29" s="41" t="s">
        <v>44</v>
      </c>
      <c r="D29" s="41"/>
      <c r="E29" s="41"/>
      <c r="F29" s="42" t="s">
        <v>45</v>
      </c>
    </row>
    <row r="30" customFormat="false" ht="16.5" hidden="false" customHeight="true" outlineLevel="0" collapsed="false">
      <c r="B30" s="19" t="s">
        <v>14</v>
      </c>
      <c r="C30" s="43" t="s">
        <v>46</v>
      </c>
      <c r="D30" s="43"/>
      <c r="E30" s="43"/>
      <c r="F30" s="44" t="n">
        <v>1200.68</v>
      </c>
    </row>
    <row r="31" customFormat="false" ht="16.5" hidden="false" customHeight="true" outlineLevel="0" collapsed="false">
      <c r="B31" s="19" t="s">
        <v>16</v>
      </c>
      <c r="C31" s="23" t="s">
        <v>47</v>
      </c>
      <c r="D31" s="23"/>
      <c r="E31" s="23"/>
      <c r="F31" s="45"/>
    </row>
    <row r="32" customFormat="false" ht="16.5" hidden="false" customHeight="true" outlineLevel="0" collapsed="false">
      <c r="B32" s="19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9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9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9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9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13"/>
      <c r="D39" s="13"/>
      <c r="E39" s="13"/>
      <c r="F39" s="13"/>
    </row>
    <row r="40" s="48" customFormat="true" ht="15" hidden="false" customHeight="true" outlineLevel="0" collapsed="false">
      <c r="A40" s="1"/>
      <c r="B40" s="19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4" hidden="false" customHeight="false" outlineLevel="0" collapsed="false">
      <c r="A41" s="1"/>
      <c r="B41" s="50" t="s">
        <v>14</v>
      </c>
      <c r="C41" s="8" t="s">
        <v>61</v>
      </c>
      <c r="D41" s="8"/>
      <c r="E41" s="24" t="s">
        <v>62</v>
      </c>
      <c r="F41" s="51" t="n">
        <v>14.8</v>
      </c>
    </row>
    <row r="42" s="48" customFormat="true" ht="16.4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18.18</v>
      </c>
    </row>
    <row r="43" s="48" customFormat="true" ht="16.4" hidden="false" customHeight="false" outlineLevel="0" collapsed="false">
      <c r="B43" s="50" t="s">
        <v>19</v>
      </c>
      <c r="C43" s="8" t="s">
        <v>64</v>
      </c>
      <c r="D43" s="8"/>
      <c r="E43" s="24" t="s">
        <v>65</v>
      </c>
      <c r="F43" s="53" t="n">
        <v>22</v>
      </c>
    </row>
    <row r="44" customFormat="false" ht="16.5" hidden="false" customHeight="true" outlineLevel="0" collapsed="false">
      <c r="B44" s="50" t="s">
        <v>22</v>
      </c>
      <c r="C44" s="54" t="s">
        <v>66</v>
      </c>
      <c r="D44" s="54"/>
      <c r="E44" s="55" t="s">
        <v>65</v>
      </c>
      <c r="F44" s="44" t="n">
        <v>15</v>
      </c>
    </row>
    <row r="45" customFormat="false" ht="16.5" hidden="false" customHeight="true" outlineLevel="0" collapsed="false">
      <c r="B45" s="50" t="s">
        <v>25</v>
      </c>
      <c r="C45" s="47" t="s">
        <v>67</v>
      </c>
      <c r="D45" s="47"/>
      <c r="E45" s="55"/>
      <c r="F45" s="44"/>
    </row>
    <row r="46" customFormat="false" ht="16.5" hidden="false" customHeight="true" outlineLevel="0" collapsed="false">
      <c r="B46" s="50" t="s">
        <v>51</v>
      </c>
      <c r="C46" s="47" t="s">
        <v>68</v>
      </c>
      <c r="D46" s="47"/>
      <c r="E46" s="55"/>
      <c r="F46" s="44"/>
    </row>
    <row r="47" s="48" customFormat="true" ht="16.5" hidden="false" customHeight="false" outlineLevel="0" collapsed="false"/>
    <row r="48" s="5" customFormat="true" ht="16.5" hidden="false" customHeight="false" outlineLevel="0" collapsed="false">
      <c r="B48" s="39" t="s">
        <v>69</v>
      </c>
      <c r="C48" s="56"/>
      <c r="D48" s="57"/>
      <c r="E48" s="1"/>
      <c r="F48" s="1"/>
    </row>
    <row r="49" s="5" customFormat="true" ht="15" hidden="false" customHeight="true" outlineLevel="0" collapsed="false">
      <c r="B49" s="39" t="s">
        <v>70</v>
      </c>
      <c r="C49" s="56"/>
      <c r="D49" s="57"/>
      <c r="E49" s="58"/>
      <c r="F49" s="58"/>
    </row>
    <row r="50" customFormat="false" ht="16.5" hidden="false" customHeight="true" outlineLevel="0" collapsed="false">
      <c r="A50" s="5"/>
      <c r="B50" s="19" t="s">
        <v>71</v>
      </c>
      <c r="C50" s="41" t="s">
        <v>72</v>
      </c>
      <c r="D50" s="41"/>
      <c r="E50" s="41"/>
      <c r="F50" s="42" t="s">
        <v>73</v>
      </c>
    </row>
    <row r="51" s="48" customFormat="true" ht="16.5" hidden="false" customHeight="true" outlineLevel="0" collapsed="false">
      <c r="B51" s="42" t="s">
        <v>14</v>
      </c>
      <c r="C51" s="59" t="s">
        <v>74</v>
      </c>
      <c r="D51" s="59"/>
      <c r="E51" s="59"/>
      <c r="F51" s="51"/>
    </row>
    <row r="52" customFormat="false" ht="16.5" hidden="false" customHeight="false" outlineLevel="0" collapsed="false">
      <c r="B52" s="48"/>
      <c r="C52" s="48"/>
      <c r="D52" s="48"/>
      <c r="E52" s="48"/>
      <c r="F52" s="48"/>
    </row>
    <row r="53" customFormat="false" ht="16.5" hidden="false" customHeight="false" outlineLevel="0" collapsed="false">
      <c r="B53" s="39" t="s">
        <v>75</v>
      </c>
      <c r="C53" s="56"/>
      <c r="D53" s="57"/>
      <c r="E53" s="58"/>
      <c r="F53" s="58"/>
    </row>
    <row r="54" customFormat="false" ht="16.5" hidden="false" customHeight="false" outlineLevel="0" collapsed="false">
      <c r="B54" s="19" t="s">
        <v>76</v>
      </c>
      <c r="C54" s="60" t="s">
        <v>77</v>
      </c>
      <c r="D54" s="60"/>
      <c r="E54" s="60"/>
      <c r="F54" s="42" t="s">
        <v>78</v>
      </c>
    </row>
    <row r="55" customFormat="false" ht="15" hidden="false" customHeight="true" outlineLevel="0" collapsed="false">
      <c r="B55" s="19" t="s">
        <v>14</v>
      </c>
      <c r="C55" s="43" t="s">
        <v>79</v>
      </c>
      <c r="D55" s="43"/>
      <c r="E55" s="43"/>
      <c r="F55" s="45"/>
    </row>
    <row r="56" s="48" customFormat="true" ht="16.5" hidden="false" customHeight="true" outlineLevel="0" collapsed="false">
      <c r="B56" s="19" t="s">
        <v>16</v>
      </c>
      <c r="C56" s="23" t="s">
        <v>80</v>
      </c>
      <c r="D56" s="23"/>
      <c r="E56" s="23"/>
      <c r="F56" s="45"/>
    </row>
    <row r="57" customFormat="false" ht="16.5" hidden="false" customHeight="false" outlineLevel="0" collapsed="false">
      <c r="B57" s="48"/>
      <c r="C57" s="48"/>
      <c r="D57" s="48"/>
      <c r="E57" s="48"/>
      <c r="F57" s="48"/>
    </row>
    <row r="58" customFormat="false" ht="15.75" hidden="false" customHeight="true" outlineLevel="0" collapsed="false">
      <c r="B58" s="39" t="s">
        <v>81</v>
      </c>
      <c r="C58" s="56"/>
      <c r="D58" s="56"/>
      <c r="E58" s="58"/>
      <c r="F58" s="58"/>
    </row>
    <row r="59" customFormat="false" ht="16.5" hidden="false" customHeight="true" outlineLevel="0" collapsed="false">
      <c r="B59" s="61" t="n">
        <v>5</v>
      </c>
      <c r="C59" s="62" t="s">
        <v>82</v>
      </c>
      <c r="D59" s="62"/>
      <c r="E59" s="62"/>
      <c r="F59" s="63" t="s">
        <v>83</v>
      </c>
    </row>
    <row r="60" customFormat="false" ht="16.5" hidden="false" customHeight="true" outlineLevel="0" collapsed="false">
      <c r="B60" s="64" t="s">
        <v>14</v>
      </c>
      <c r="C60" s="65" t="s">
        <v>84</v>
      </c>
      <c r="D60" s="65"/>
      <c r="E60" s="65"/>
      <c r="F60" s="66" t="n">
        <v>43.246</v>
      </c>
    </row>
    <row r="61" s="68" customFormat="true" ht="16.5" hidden="false" customHeight="true" outlineLevel="0" collapsed="false">
      <c r="A61" s="1"/>
      <c r="B61" s="64" t="s">
        <v>16</v>
      </c>
      <c r="C61" s="67" t="s">
        <v>85</v>
      </c>
      <c r="D61" s="67"/>
      <c r="E61" s="67"/>
      <c r="F61" s="66" t="n">
        <v>181.215</v>
      </c>
    </row>
    <row r="62" s="68" customFormat="true" ht="16.5" hidden="false" customHeight="true" outlineLevel="0" collapsed="false">
      <c r="A62" s="1"/>
      <c r="B62" s="64" t="s">
        <v>19</v>
      </c>
      <c r="C62" s="65" t="s">
        <v>86</v>
      </c>
      <c r="D62" s="65"/>
      <c r="E62" s="65"/>
      <c r="F62" s="66"/>
    </row>
    <row r="63" s="48" customFormat="true" ht="16.5" hidden="false" customHeight="true" outlineLevel="0" collapsed="false">
      <c r="B63" s="64" t="s">
        <v>22</v>
      </c>
      <c r="C63" s="47" t="s">
        <v>87</v>
      </c>
      <c r="D63" s="47"/>
      <c r="E63" s="47"/>
      <c r="F63" s="44"/>
    </row>
    <row r="64" s="69" customFormat="true" ht="16.5" hidden="false" customHeight="true" outlineLevel="0" collapsed="false">
      <c r="A64" s="1"/>
      <c r="B64" s="48"/>
      <c r="C64" s="48"/>
      <c r="D64" s="48"/>
      <c r="E64" s="48"/>
      <c r="F64" s="48"/>
    </row>
    <row r="65" s="71" customFormat="true" ht="16.5" hidden="false" customHeight="true" outlineLevel="0" collapsed="false">
      <c r="A65" s="1"/>
      <c r="B65" s="70" t="s">
        <v>88</v>
      </c>
      <c r="C65" s="70"/>
      <c r="D65" s="70"/>
      <c r="E65" s="70"/>
      <c r="F65" s="70"/>
    </row>
    <row r="66" s="71" customFormat="true" ht="16.5" hidden="false" customHeight="false" outlineLevel="0" collapsed="false">
      <c r="A66" s="68"/>
      <c r="B66" s="19" t="n">
        <v>6</v>
      </c>
      <c r="C66" s="60" t="s">
        <v>89</v>
      </c>
      <c r="D66" s="60"/>
      <c r="E66" s="60"/>
      <c r="F66" s="42" t="s">
        <v>73</v>
      </c>
    </row>
    <row r="67" s="71" customFormat="true" ht="16.5" hidden="false" customHeight="true" outlineLevel="0" collapsed="false">
      <c r="A67" s="68"/>
      <c r="B67" s="19" t="s">
        <v>14</v>
      </c>
      <c r="C67" s="72" t="s">
        <v>90</v>
      </c>
      <c r="D67" s="72"/>
      <c r="E67" s="72"/>
      <c r="F67" s="73" t="n">
        <v>4.73</v>
      </c>
    </row>
    <row r="68" s="71" customFormat="true" ht="16.5" hidden="false" customHeight="true" outlineLevel="0" collapsed="false">
      <c r="A68" s="69"/>
      <c r="B68" s="42" t="s">
        <v>16</v>
      </c>
      <c r="C68" s="23" t="s">
        <v>91</v>
      </c>
      <c r="D68" s="23"/>
      <c r="E68" s="23"/>
      <c r="F68" s="73" t="n">
        <v>5.57</v>
      </c>
    </row>
    <row r="69" customFormat="false" ht="16.5" hidden="false" customHeight="true" outlineLevel="0" collapsed="false">
      <c r="B69" s="74" t="s">
        <v>92</v>
      </c>
      <c r="C69" s="72" t="s">
        <v>93</v>
      </c>
      <c r="D69" s="72"/>
      <c r="E69" s="72" t="n">
        <f aca="false">PERC_PIS</f>
        <v>0.65</v>
      </c>
      <c r="F69" s="73" t="n">
        <v>0.65</v>
      </c>
    </row>
    <row r="70" customFormat="false" ht="16.5" hidden="false" customHeight="true" outlineLevel="0" collapsed="false">
      <c r="B70" s="74" t="s">
        <v>94</v>
      </c>
      <c r="C70" s="23" t="s">
        <v>95</v>
      </c>
      <c r="D70" s="23"/>
      <c r="E70" s="23" t="n">
        <f aca="false">PERC_COFINS</f>
        <v>3</v>
      </c>
      <c r="F70" s="73" t="n">
        <v>3</v>
      </c>
    </row>
    <row r="71" s="48" customFormat="true" ht="16.5" hidden="false" customHeight="true" outlineLevel="0" collapsed="false">
      <c r="B71" s="74" t="s">
        <v>96</v>
      </c>
      <c r="C71" s="72" t="s">
        <v>97</v>
      </c>
      <c r="D71" s="72"/>
      <c r="E71" s="72" t="n">
        <f aca="false">PERC_ISS</f>
        <v>5</v>
      </c>
      <c r="F71" s="73" t="n">
        <v>5</v>
      </c>
    </row>
    <row r="72" customFormat="false" ht="16.5" hidden="false" customHeight="false" outlineLevel="0" collapsed="false">
      <c r="B72" s="48"/>
      <c r="C72" s="48"/>
      <c r="D72" s="48"/>
      <c r="E72" s="48"/>
      <c r="F72" s="48"/>
    </row>
    <row r="73" customFormat="false" ht="33.75" hidden="false" customHeight="true" outlineLevel="0" collapsed="false">
      <c r="B73" s="75" t="s">
        <v>98</v>
      </c>
      <c r="C73" s="76"/>
      <c r="D73" s="76"/>
      <c r="E73" s="76"/>
      <c r="F73" s="77"/>
    </row>
    <row r="74" customFormat="false" ht="32.25" hidden="false" customHeight="true" outlineLevel="0" collapsed="false">
      <c r="B74" s="78" t="s">
        <v>99</v>
      </c>
      <c r="C74" s="78"/>
      <c r="D74" s="78"/>
      <c r="E74" s="78"/>
      <c r="F74" s="78"/>
    </row>
  </sheetData>
  <sheetProtection sheet="true" objects="true" scenarios="true"/>
  <mergeCells count="55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50:E50"/>
    <mergeCell ref="C51:E51"/>
    <mergeCell ref="C54:E54"/>
    <mergeCell ref="C55:E55"/>
    <mergeCell ref="C56:E56"/>
    <mergeCell ref="C59:E59"/>
    <mergeCell ref="C60:E60"/>
    <mergeCell ref="C61:E61"/>
    <mergeCell ref="C62:E62"/>
    <mergeCell ref="C63:E63"/>
    <mergeCell ref="B65:F65"/>
    <mergeCell ref="C66:E66"/>
    <mergeCell ref="C67:E67"/>
    <mergeCell ref="C68:E68"/>
    <mergeCell ref="C69:E69"/>
    <mergeCell ref="C70:E70"/>
    <mergeCell ref="C71:E71"/>
    <mergeCell ref="B74:F74"/>
  </mergeCells>
  <dataValidations count="11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1" type="whole">
      <formula1>2</formula1>
      <formula2>5</formula2>
    </dataValidation>
    <dataValidation allowBlank="true" error="Tem certeza que o percentual do Cofins é diferente de 3%, previsto no art. 31 da Lei nº 10.833/2003?" errorTitle="Atentar para o percentual." operator="equal" showDropDown="false" showErrorMessage="true" showInputMessage="true" sqref="F70" type="whole">
      <formula1>3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69" type="decimal">
      <formula1>0.65</formula1>
      <formula2>0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8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7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5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s="5" customFormat="true" ht="25.5" hidden="false" customHeight="false" outlineLevel="0" collapsed="false">
      <c r="B1" s="38" t="s">
        <v>100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3" hidden="false" customHeight="true" outlineLevel="0" collapsed="false">
      <c r="B3" s="19" t="n">
        <v>1</v>
      </c>
      <c r="C3" s="41" t="s">
        <v>44</v>
      </c>
      <c r="D3" s="41"/>
      <c r="E3" s="41"/>
      <c r="F3" s="42" t="s">
        <v>101</v>
      </c>
    </row>
    <row r="4" customFormat="false" ht="16.5" hidden="false" customHeight="true" outlineLevel="0" collapsed="false">
      <c r="B4" s="19" t="s">
        <v>25</v>
      </c>
      <c r="C4" s="72" t="s">
        <v>102</v>
      </c>
      <c r="D4" s="72"/>
      <c r="E4" s="72"/>
      <c r="F4" s="79" t="n">
        <v>220</v>
      </c>
    </row>
    <row r="5" customFormat="false" ht="16.5" hidden="false" customHeight="true" outlineLevel="0" collapsed="false">
      <c r="B5" s="19" t="s">
        <v>51</v>
      </c>
      <c r="C5" s="46" t="s">
        <v>103</v>
      </c>
      <c r="D5" s="46"/>
      <c r="E5" s="46"/>
      <c r="F5" s="80" t="n">
        <v>7</v>
      </c>
    </row>
    <row r="6" customFormat="false" ht="16.5" hidden="false" customHeight="true" outlineLevel="0" collapsed="false">
      <c r="B6" s="19" t="s">
        <v>53</v>
      </c>
      <c r="C6" s="72" t="s">
        <v>104</v>
      </c>
      <c r="D6" s="72"/>
      <c r="E6" s="72"/>
      <c r="F6" s="79" t="n">
        <v>365</v>
      </c>
    </row>
    <row r="7" customFormat="false" ht="16.5" hidden="false" customHeight="true" outlineLevel="0" collapsed="false">
      <c r="B7" s="19" t="s">
        <v>105</v>
      </c>
      <c r="C7" s="46" t="s">
        <v>106</v>
      </c>
      <c r="D7" s="46"/>
      <c r="E7" s="46"/>
      <c r="F7" s="81" t="n">
        <v>15.2</v>
      </c>
    </row>
    <row r="8" customFormat="false" ht="16.5" hidden="false" customHeight="true" outlineLevel="0" collapsed="false">
      <c r="B8" s="19" t="s">
        <v>107</v>
      </c>
      <c r="C8" s="72" t="s">
        <v>108</v>
      </c>
      <c r="D8" s="72"/>
      <c r="E8" s="72"/>
      <c r="F8" s="79" t="n">
        <v>12</v>
      </c>
    </row>
    <row r="9" customFormat="false" ht="16.5" hidden="false" customHeight="true" outlineLevel="0" collapsed="false">
      <c r="B9" s="19" t="s">
        <v>109</v>
      </c>
      <c r="C9" s="46" t="s">
        <v>110</v>
      </c>
      <c r="D9" s="46"/>
      <c r="E9" s="46"/>
      <c r="F9" s="80" t="n">
        <v>60</v>
      </c>
    </row>
    <row r="10" s="83" customFormat="true" ht="16.5" hidden="false" customHeight="true" outlineLevel="0" collapsed="false">
      <c r="A10" s="1"/>
      <c r="B10" s="19" t="s">
        <v>111</v>
      </c>
      <c r="C10" s="72" t="s">
        <v>112</v>
      </c>
      <c r="D10" s="72"/>
      <c r="E10" s="72"/>
      <c r="F10" s="82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13"/>
      <c r="D12" s="13"/>
      <c r="E12" s="13"/>
      <c r="F12" s="13"/>
    </row>
    <row r="13" s="48" customFormat="true" ht="15" hidden="false" customHeight="true" outlineLevel="0" collapsed="false">
      <c r="A13" s="1"/>
      <c r="B13" s="19" t="s">
        <v>57</v>
      </c>
      <c r="C13" s="41" t="s">
        <v>58</v>
      </c>
      <c r="D13" s="41"/>
      <c r="E13" s="42" t="s">
        <v>59</v>
      </c>
      <c r="F13" s="42" t="s">
        <v>73</v>
      </c>
    </row>
    <row r="14" s="48" customFormat="true" ht="16.5" hidden="false" customHeight="false" outlineLevel="0" collapsed="false">
      <c r="B14" s="50" t="s">
        <v>19</v>
      </c>
      <c r="C14" s="10" t="s">
        <v>113</v>
      </c>
      <c r="D14" s="10"/>
      <c r="E14" s="52" t="s">
        <v>65</v>
      </c>
      <c r="F14" s="84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114</v>
      </c>
      <c r="C16" s="56"/>
      <c r="D16" s="57"/>
      <c r="E16" s="58"/>
      <c r="F16" s="58"/>
    </row>
    <row r="17" s="5" customFormat="true" ht="16.5" hidden="false" customHeight="false" outlineLevel="0" collapsed="false">
      <c r="A17" s="48"/>
      <c r="B17" s="19" t="n">
        <v>3</v>
      </c>
      <c r="C17" s="60" t="s">
        <v>115</v>
      </c>
      <c r="D17" s="60"/>
      <c r="E17" s="60"/>
      <c r="F17" s="42" t="s">
        <v>116</v>
      </c>
    </row>
    <row r="18" s="5" customFormat="true" ht="16.5" hidden="false" customHeight="true" outlineLevel="0" collapsed="false">
      <c r="A18" s="48"/>
      <c r="B18" s="19" t="s">
        <v>14</v>
      </c>
      <c r="C18" s="72" t="s">
        <v>117</v>
      </c>
      <c r="D18" s="72"/>
      <c r="E18" s="72"/>
      <c r="F18" s="85" t="n">
        <v>62.93</v>
      </c>
    </row>
    <row r="19" customFormat="false" ht="16.5" hidden="false" customHeight="false" outlineLevel="0" collapsed="false">
      <c r="A19" s="48"/>
      <c r="B19" s="42" t="s">
        <v>16</v>
      </c>
      <c r="C19" s="86" t="s">
        <v>118</v>
      </c>
      <c r="D19" s="86"/>
      <c r="E19" s="86"/>
      <c r="F19" s="87" t="n">
        <v>5.55</v>
      </c>
    </row>
    <row r="20" s="5" customFormat="true" ht="15.95" hidden="false" customHeight="true" outlineLevel="0" collapsed="false">
      <c r="B20" s="42" t="s">
        <v>19</v>
      </c>
      <c r="C20" s="72" t="s">
        <v>119</v>
      </c>
      <c r="D20" s="72"/>
      <c r="E20" s="72"/>
      <c r="F20" s="88" t="n">
        <v>40</v>
      </c>
    </row>
    <row r="21" s="5" customFormat="true" ht="15.95" hidden="false" customHeight="true" outlineLevel="0" collapsed="false">
      <c r="A21" s="48"/>
      <c r="B21" s="42" t="s">
        <v>22</v>
      </c>
      <c r="C21" s="86" t="s">
        <v>120</v>
      </c>
      <c r="D21" s="86"/>
      <c r="E21" s="86"/>
      <c r="F21" s="84" t="n">
        <v>10</v>
      </c>
    </row>
    <row r="22" customFormat="false" ht="16.5" hidden="false" customHeight="true" outlineLevel="0" collapsed="false">
      <c r="A22" s="48"/>
      <c r="B22" s="42" t="s">
        <v>25</v>
      </c>
      <c r="C22" s="72" t="s">
        <v>121</v>
      </c>
      <c r="D22" s="72"/>
      <c r="E22" s="72"/>
      <c r="F22" s="85" t="n">
        <v>94.45</v>
      </c>
    </row>
    <row r="23" customFormat="false" ht="16.5" hidden="false" customHeight="false" outlineLevel="0" collapsed="false">
      <c r="A23" s="48"/>
      <c r="B23" s="42" t="s">
        <v>51</v>
      </c>
      <c r="C23" s="86" t="s">
        <v>122</v>
      </c>
      <c r="D23" s="86"/>
      <c r="E23" s="86"/>
      <c r="F23" s="84" t="n">
        <v>30</v>
      </c>
    </row>
    <row r="24" s="48" customFormat="true" ht="16.5" hidden="false" customHeight="false" outlineLevel="0" collapsed="false"/>
    <row r="25" s="5" customFormat="true" ht="16.5" hidden="false" customHeight="false" outlineLevel="0" collapsed="false">
      <c r="B25" s="39" t="s">
        <v>69</v>
      </c>
      <c r="C25" s="56"/>
      <c r="D25" s="57"/>
      <c r="E25" s="1"/>
      <c r="F25" s="1"/>
    </row>
    <row r="26" s="5" customFormat="true" ht="15" hidden="false" customHeight="true" outlineLevel="0" collapsed="false">
      <c r="B26" s="39" t="s">
        <v>70</v>
      </c>
      <c r="C26" s="56"/>
      <c r="D26" s="57"/>
      <c r="E26" s="58"/>
      <c r="F26" s="58"/>
    </row>
    <row r="27" s="5" customFormat="true" ht="16.5" hidden="false" customHeight="true" outlineLevel="0" collapsed="false">
      <c r="B27" s="19" t="s">
        <v>71</v>
      </c>
      <c r="C27" s="41" t="s">
        <v>72</v>
      </c>
      <c r="D27" s="41"/>
      <c r="E27" s="41"/>
      <c r="F27" s="42" t="s">
        <v>116</v>
      </c>
    </row>
    <row r="28" s="5" customFormat="true" ht="16.5" hidden="false" customHeight="true" outlineLevel="0" collapsed="false">
      <c r="B28" s="19" t="s">
        <v>14</v>
      </c>
      <c r="C28" s="72" t="s">
        <v>123</v>
      </c>
      <c r="D28" s="72"/>
      <c r="E28" s="72"/>
      <c r="F28" s="88" t="n">
        <v>8</v>
      </c>
    </row>
    <row r="29" customFormat="false" ht="16.5" hidden="false" customHeight="true" outlineLevel="0" collapsed="false">
      <c r="A29" s="5"/>
      <c r="B29" s="42" t="s">
        <v>16</v>
      </c>
      <c r="C29" s="23" t="s">
        <v>124</v>
      </c>
      <c r="D29" s="23"/>
      <c r="E29" s="23"/>
      <c r="F29" s="84" t="n">
        <v>20</v>
      </c>
    </row>
    <row r="30" customFormat="false" ht="16.5" hidden="false" customHeight="true" outlineLevel="0" collapsed="false">
      <c r="A30" s="5"/>
      <c r="B30" s="42" t="s">
        <v>19</v>
      </c>
      <c r="C30" s="72" t="s">
        <v>125</v>
      </c>
      <c r="D30" s="72"/>
      <c r="E30" s="72"/>
      <c r="F30" s="85" t="n">
        <v>1.42</v>
      </c>
    </row>
    <row r="31" customFormat="false" ht="16.5" hidden="false" customHeight="true" outlineLevel="0" collapsed="false">
      <c r="A31" s="5"/>
      <c r="B31" s="42" t="s">
        <v>22</v>
      </c>
      <c r="C31" s="23" t="s">
        <v>126</v>
      </c>
      <c r="D31" s="23"/>
      <c r="E31" s="23"/>
      <c r="F31" s="87" t="n">
        <v>45.22</v>
      </c>
    </row>
    <row r="32" s="5" customFormat="true" ht="15.95" hidden="false" customHeight="true" outlineLevel="0" collapsed="false">
      <c r="A32" s="1"/>
      <c r="B32" s="42" t="s">
        <v>25</v>
      </c>
      <c r="C32" s="72" t="s">
        <v>127</v>
      </c>
      <c r="D32" s="72"/>
      <c r="E32" s="72"/>
      <c r="F32" s="85" t="n">
        <f aca="false">(154800/34808000)*100</f>
        <v>0.44</v>
      </c>
    </row>
    <row r="33" customFormat="false" ht="15.75" hidden="false" customHeight="true" outlineLevel="0" collapsed="false">
      <c r="A33" s="5"/>
      <c r="B33" s="42" t="s">
        <v>51</v>
      </c>
      <c r="C33" s="23" t="s">
        <v>128</v>
      </c>
      <c r="D33" s="23"/>
      <c r="E33" s="23"/>
      <c r="F33" s="84" t="n">
        <v>15</v>
      </c>
    </row>
    <row r="34" customFormat="false" ht="15.75" hidden="false" customHeight="true" outlineLevel="0" collapsed="false">
      <c r="A34" s="5"/>
      <c r="B34" s="42" t="s">
        <v>53</v>
      </c>
      <c r="C34" s="72" t="s">
        <v>129</v>
      </c>
      <c r="D34" s="72"/>
      <c r="E34" s="72"/>
      <c r="F34" s="88" t="n">
        <v>180</v>
      </c>
    </row>
    <row r="35" customFormat="false" ht="16.5" hidden="false" customHeight="true" outlineLevel="0" collapsed="false">
      <c r="A35" s="5"/>
      <c r="B35" s="42" t="s">
        <v>130</v>
      </c>
      <c r="C35" s="23" t="s">
        <v>131</v>
      </c>
      <c r="D35" s="23"/>
      <c r="E35" s="23"/>
      <c r="F35" s="87" t="n">
        <v>54.78</v>
      </c>
    </row>
    <row r="36" s="48" customFormat="true" ht="8.25" hidden="false" customHeight="true" outlineLevel="0" collapsed="false"/>
    <row r="37" customFormat="false" ht="16.5" hidden="false" customHeight="false" outlineLevel="0" collapsed="false">
      <c r="B37" s="39" t="s">
        <v>132</v>
      </c>
      <c r="C37" s="56"/>
      <c r="D37" s="57"/>
      <c r="E37" s="58"/>
      <c r="F37" s="58"/>
    </row>
    <row r="38" customFormat="false" ht="16.5" hidden="false" customHeight="false" outlineLevel="0" collapsed="false">
      <c r="B38" s="19" t="s">
        <v>76</v>
      </c>
      <c r="C38" s="60" t="s">
        <v>133</v>
      </c>
      <c r="D38" s="60"/>
      <c r="E38" s="60"/>
      <c r="F38" s="42" t="s">
        <v>134</v>
      </c>
    </row>
    <row r="39" customFormat="false" ht="16.5" hidden="false" customHeight="true" outlineLevel="0" collapsed="false">
      <c r="B39" s="19" t="s">
        <v>14</v>
      </c>
      <c r="C39" s="43" t="s">
        <v>79</v>
      </c>
      <c r="D39" s="43"/>
      <c r="E39" s="43"/>
      <c r="F39" s="79" t="n">
        <f aca="false">PERC_HORA_EXTRA</f>
        <v>0</v>
      </c>
    </row>
    <row r="40" customFormat="false" ht="15" hidden="false" customHeight="true" outlineLevel="0" collapsed="false">
      <c r="B40" s="19" t="s">
        <v>16</v>
      </c>
      <c r="C40" s="23" t="s">
        <v>80</v>
      </c>
      <c r="D40" s="23"/>
      <c r="E40" s="23"/>
      <c r="F40" s="80" t="n">
        <f aca="false">TEMPO_INTERVALO_REFEICAO</f>
        <v>0</v>
      </c>
    </row>
    <row r="41" s="48" customFormat="true" ht="16.5" hidden="false" customHeight="false" outlineLevel="0" collapsed="false"/>
    <row r="42" customFormat="false" ht="20.25" hidden="false" customHeight="false" outlineLevel="0" collapsed="false">
      <c r="B42" s="75" t="s">
        <v>98</v>
      </c>
      <c r="C42" s="76"/>
      <c r="D42" s="76"/>
      <c r="E42" s="76"/>
      <c r="F42" s="77"/>
    </row>
    <row r="43" customFormat="false" ht="33.75" hidden="false" customHeight="true" outlineLevel="0" collapsed="false">
      <c r="B43" s="78" t="s">
        <v>99</v>
      </c>
      <c r="C43" s="78"/>
      <c r="D43" s="78"/>
      <c r="E43" s="78"/>
      <c r="F43" s="78"/>
    </row>
  </sheetData>
  <sheetProtection sheet="true" objects="true" scenarios="true"/>
  <mergeCells count="30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3:E23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8:E38"/>
    <mergeCell ref="C39:E39"/>
    <mergeCell ref="C40:E40"/>
    <mergeCell ref="B43:F43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9:F40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22.01"/>
    <col collapsed="false" customWidth="true" hidden="false" outlineLevel="0" max="5" min="5" style="1" width="13.57"/>
    <col collapsed="false" customWidth="true" hidden="false" outlineLevel="0" max="6" min="6" style="1" width="43.85"/>
    <col collapsed="false" customWidth="true" hidden="false" outlineLevel="0" max="7" min="7" style="1" width="51.71"/>
    <col collapsed="false" customWidth="true" hidden="false" outlineLevel="0" max="1025" min="8" style="1" width="9.13"/>
  </cols>
  <sheetData>
    <row r="1" s="5" customFormat="true" ht="25.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6"/>
      <c r="D3" s="57"/>
      <c r="E3" s="58"/>
    </row>
    <row r="4" customFormat="false" ht="16.5" hidden="false" customHeight="false" outlineLevel="0" collapsed="false">
      <c r="B4" s="19" t="s">
        <v>137</v>
      </c>
      <c r="C4" s="60" t="s">
        <v>138</v>
      </c>
      <c r="D4" s="60"/>
      <c r="E4" s="42" t="s">
        <v>73</v>
      </c>
      <c r="F4" s="42" t="s">
        <v>139</v>
      </c>
    </row>
    <row r="5" customFormat="false" ht="16.5" hidden="false" customHeight="true" outlineLevel="0" collapsed="false">
      <c r="B5" s="19" t="s">
        <v>14</v>
      </c>
      <c r="C5" s="72" t="s">
        <v>140</v>
      </c>
      <c r="D5" s="72"/>
      <c r="E5" s="89" t="n">
        <f aca="false">(1/MESES_NO_ANO)*100</f>
        <v>8.33</v>
      </c>
      <c r="F5" s="89" t="s">
        <v>141</v>
      </c>
    </row>
    <row r="6" s="83" customFormat="true" ht="16.5" hidden="false" customHeight="true" outlineLevel="0" collapsed="false">
      <c r="B6" s="42" t="s">
        <v>16</v>
      </c>
      <c r="C6" s="23" t="s">
        <v>142</v>
      </c>
      <c r="D6" s="23"/>
      <c r="E6" s="90" t="n">
        <f aca="false">(1/3)/MESES_NO_ANO*100</f>
        <v>2.78</v>
      </c>
      <c r="F6" s="90" t="s">
        <v>143</v>
      </c>
    </row>
    <row r="7" s="48" customFormat="true" ht="16.5" hidden="false" customHeight="true" outlineLevel="0" collapsed="false">
      <c r="B7" s="91" t="s">
        <v>144</v>
      </c>
      <c r="C7" s="91"/>
      <c r="D7" s="91"/>
      <c r="E7" s="91"/>
      <c r="F7" s="91"/>
    </row>
    <row r="8" s="48" customFormat="true" ht="34.5" hidden="false" customHeight="true" outlineLevel="0" collapsed="false">
      <c r="B8" s="19" t="s">
        <v>145</v>
      </c>
      <c r="C8" s="92" t="s">
        <v>146</v>
      </c>
      <c r="D8" s="92"/>
      <c r="E8" s="42" t="s">
        <v>73</v>
      </c>
    </row>
    <row r="9" customFormat="false" ht="16.5" hidden="false" customHeight="true" outlineLevel="0" collapsed="false">
      <c r="B9" s="19" t="s">
        <v>14</v>
      </c>
      <c r="C9" s="72" t="s">
        <v>147</v>
      </c>
      <c r="D9" s="72"/>
      <c r="E9" s="89" t="n">
        <v>20</v>
      </c>
    </row>
    <row r="10" s="5" customFormat="true" ht="16.5" hidden="false" customHeight="true" outlineLevel="0" collapsed="false">
      <c r="B10" s="42" t="s">
        <v>16</v>
      </c>
      <c r="C10" s="23" t="s">
        <v>148</v>
      </c>
      <c r="D10" s="23"/>
      <c r="E10" s="93" t="n">
        <v>2.5</v>
      </c>
    </row>
    <row r="11" s="5" customFormat="true" ht="16.5" hidden="false" customHeight="true" outlineLevel="0" collapsed="false">
      <c r="B11" s="42" t="s">
        <v>19</v>
      </c>
      <c r="C11" s="72" t="s">
        <v>149</v>
      </c>
      <c r="D11" s="72"/>
      <c r="E11" s="89" t="n">
        <v>3</v>
      </c>
    </row>
    <row r="12" s="5" customFormat="true" ht="16.5" hidden="false" customHeight="true" outlineLevel="0" collapsed="false">
      <c r="B12" s="42" t="s">
        <v>22</v>
      </c>
      <c r="C12" s="23" t="s">
        <v>150</v>
      </c>
      <c r="D12" s="23"/>
      <c r="E12" s="90" t="n">
        <v>1.5</v>
      </c>
    </row>
    <row r="13" s="5" customFormat="true" ht="16.5" hidden="false" customHeight="true" outlineLevel="0" collapsed="false">
      <c r="B13" s="42" t="s">
        <v>25</v>
      </c>
      <c r="C13" s="72" t="s">
        <v>151</v>
      </c>
      <c r="D13" s="72"/>
      <c r="E13" s="89" t="n">
        <v>1</v>
      </c>
    </row>
    <row r="14" s="13" customFormat="true" ht="16.5" hidden="false" customHeight="true" outlineLevel="0" collapsed="false">
      <c r="B14" s="42" t="s">
        <v>51</v>
      </c>
      <c r="C14" s="23" t="s">
        <v>152</v>
      </c>
      <c r="D14" s="23"/>
      <c r="E14" s="93" t="n">
        <v>0.6</v>
      </c>
    </row>
    <row r="15" s="13" customFormat="true" ht="16.5" hidden="false" customHeight="true" outlineLevel="0" collapsed="false">
      <c r="B15" s="42" t="s">
        <v>53</v>
      </c>
      <c r="C15" s="72" t="s">
        <v>153</v>
      </c>
      <c r="D15" s="72"/>
      <c r="E15" s="89" t="n">
        <v>0.2</v>
      </c>
    </row>
    <row r="16" customFormat="false" ht="16.5" hidden="false" customHeight="true" outlineLevel="0" collapsed="false">
      <c r="B16" s="42" t="s">
        <v>130</v>
      </c>
      <c r="C16" s="23" t="s">
        <v>154</v>
      </c>
      <c r="D16" s="23"/>
      <c r="E16" s="93" t="n">
        <v>8</v>
      </c>
    </row>
    <row r="17" customFormat="false" ht="16.5" hidden="false" customHeight="false" outlineLevel="0" collapsed="false">
      <c r="B17" s="60" t="s">
        <v>155</v>
      </c>
      <c r="C17" s="60"/>
      <c r="D17" s="60"/>
      <c r="E17" s="94" t="n">
        <f aca="false">SUM(E9:E16)</f>
        <v>36.8</v>
      </c>
    </row>
    <row r="18" s="48" customFormat="true" ht="16.5" hidden="false" customHeight="false" outlineLevel="0" collapsed="false">
      <c r="B18" s="39" t="s">
        <v>114</v>
      </c>
      <c r="C18" s="56"/>
      <c r="D18" s="57"/>
      <c r="E18" s="58"/>
    </row>
    <row r="19" s="48" customFormat="true" ht="15" hidden="false" customHeight="true" outlineLevel="0" collapsed="false">
      <c r="B19" s="19" t="n">
        <v>3</v>
      </c>
      <c r="C19" s="60" t="s">
        <v>115</v>
      </c>
      <c r="D19" s="60"/>
      <c r="E19" s="42" t="s">
        <v>73</v>
      </c>
      <c r="F19" s="42" t="s">
        <v>139</v>
      </c>
    </row>
    <row r="20" s="48" customFormat="true" ht="16.5" hidden="false" customHeight="false" outlineLevel="0" collapsed="false">
      <c r="B20" s="19" t="s">
        <v>14</v>
      </c>
      <c r="C20" s="95" t="s">
        <v>156</v>
      </c>
      <c r="D20" s="95"/>
      <c r="E20" s="89" t="n">
        <f aca="false">PERC_EMPREG_DEMIT_SEM_JUSTA_CAUSA_TOTAL_DESLIG%*PERC_EMPREG_AVISO_PREVIO_IND%*1/MESES_NO_ANO*100</f>
        <v>0.29</v>
      </c>
      <c r="F20" s="89" t="s">
        <v>157</v>
      </c>
    </row>
    <row r="21" s="48" customFormat="true" ht="16.5" hidden="false" customHeight="false" outlineLevel="0" collapsed="false">
      <c r="B21" s="42" t="s">
        <v>16</v>
      </c>
      <c r="C21" s="96" t="s">
        <v>158</v>
      </c>
      <c r="D21" s="96"/>
      <c r="E21" s="93" t="n">
        <f aca="false">PERC_FGTS%*PERC_AVISO_PREVIO_IND</f>
        <v>0.02</v>
      </c>
      <c r="F21" s="90" t="s">
        <v>159</v>
      </c>
    </row>
    <row r="22" s="5" customFormat="true" ht="16.5" hidden="false" customHeight="false" outlineLevel="0" collapsed="false">
      <c r="B22" s="42" t="s">
        <v>19</v>
      </c>
      <c r="C22" s="95" t="s">
        <v>160</v>
      </c>
      <c r="D22" s="95"/>
      <c r="E22" s="89" t="n">
        <f aca="false">PERC_AVISO_PREVIO_IND%*(PERC_MULTA_FGTS%+PERC_CONTRIB_SOCIAL%)*PERC_FGTS%*100</f>
        <v>0.01</v>
      </c>
      <c r="F22" s="89" t="s">
        <v>161</v>
      </c>
    </row>
    <row r="23" s="48" customFormat="true" ht="16.5" hidden="false" customHeight="false" outlineLevel="0" collapsed="false">
      <c r="B23" s="42" t="s">
        <v>22</v>
      </c>
      <c r="C23" s="96" t="s">
        <v>162</v>
      </c>
      <c r="D23" s="96"/>
      <c r="E23" s="93" t="n">
        <f aca="false">PERC_EMPREG_DEMIT_SEM_JUSTA_CAUSA_TOTAL_DESLIG%*PERC_EMPREG_AVISO_PREVIO_TRAB%*(DIAS_NA_SEMANA/DIAS_NO_MES)/MESES_NO_ANO*100</f>
        <v>1.16</v>
      </c>
      <c r="F23" s="90" t="s">
        <v>163</v>
      </c>
    </row>
    <row r="24" s="5" customFormat="true" ht="16.5" hidden="false" customHeight="false" outlineLevel="0" collapsed="false">
      <c r="B24" s="42" t="s">
        <v>25</v>
      </c>
      <c r="C24" s="95" t="s">
        <v>164</v>
      </c>
      <c r="D24" s="95"/>
      <c r="E24" s="89" t="n">
        <f aca="false">PERC_GPS_FGTS*PERC_AVISO_PREVIO_TRAB%</f>
        <v>0.43</v>
      </c>
      <c r="F24" s="89" t="s">
        <v>165</v>
      </c>
    </row>
    <row r="25" s="5" customFormat="true" ht="16.5" hidden="false" customHeight="false" outlineLevel="0" collapsed="false">
      <c r="B25" s="42" t="s">
        <v>51</v>
      </c>
      <c r="C25" s="96" t="s">
        <v>166</v>
      </c>
      <c r="D25" s="96"/>
      <c r="E25" s="93" t="n">
        <f aca="false">ROUNDUP(PERC_AVISO_PREVIO_TRAB%*(PERC_MULTA_FGTS%+PERC_CONTRIB_SOCIAL%)*PERC_FGTS%*100,2)</f>
        <v>0.05</v>
      </c>
      <c r="F25" s="90" t="s">
        <v>167</v>
      </c>
    </row>
    <row r="26" s="5" customFormat="true" ht="15.95" hidden="false" customHeight="true" outlineLevel="0" collapsed="false">
      <c r="B26" s="39" t="s">
        <v>69</v>
      </c>
      <c r="C26" s="56"/>
      <c r="D26" s="57"/>
      <c r="E26" s="1"/>
    </row>
    <row r="27" s="5" customFormat="true" ht="15.95" hidden="false" customHeight="true" outlineLevel="0" collapsed="false">
      <c r="B27" s="39" t="s">
        <v>70</v>
      </c>
      <c r="C27" s="56"/>
      <c r="D27" s="57"/>
      <c r="E27" s="58"/>
    </row>
    <row r="28" s="5" customFormat="true" ht="16.5" hidden="false" customHeight="true" outlineLevel="0" collapsed="false">
      <c r="B28" s="19" t="s">
        <v>71</v>
      </c>
      <c r="C28" s="41" t="s">
        <v>72</v>
      </c>
      <c r="D28" s="41"/>
      <c r="E28" s="42" t="s">
        <v>73</v>
      </c>
      <c r="F28" s="42" t="s">
        <v>139</v>
      </c>
    </row>
    <row r="29" s="5" customFormat="true" ht="15.95" hidden="false" customHeight="true" outlineLevel="0" collapsed="false">
      <c r="B29" s="42" t="s">
        <v>14</v>
      </c>
      <c r="C29" s="72" t="s">
        <v>168</v>
      </c>
      <c r="D29" s="72"/>
      <c r="E29" s="89" t="n">
        <f aca="false">(1/MESES_NO_ANO)*100</f>
        <v>8.33</v>
      </c>
      <c r="F29" s="89" t="s">
        <v>169</v>
      </c>
    </row>
    <row r="30" s="5" customFormat="true" ht="15.95" hidden="false" customHeight="true" outlineLevel="0" collapsed="false">
      <c r="B30" s="42" t="s">
        <v>16</v>
      </c>
      <c r="C30" s="23" t="s">
        <v>170</v>
      </c>
      <c r="D30" s="23"/>
      <c r="E30" s="93" t="n">
        <f aca="false">(DIAS_AUSENCIAS_LEGAIS/DIAS_NO_MES)/MESES_NO_ANO*100</f>
        <v>2.22</v>
      </c>
      <c r="F30" s="90" t="s">
        <v>171</v>
      </c>
    </row>
    <row r="31" s="5" customFormat="true" ht="15.95" hidden="false" customHeight="true" outlineLevel="0" collapsed="false">
      <c r="B31" s="42" t="s">
        <v>19</v>
      </c>
      <c r="C31" s="72" t="s">
        <v>172</v>
      </c>
      <c r="D31" s="72"/>
      <c r="E31" s="89" t="n">
        <f aca="false">(((DIAS_LICENCA_PATERNIDADE/DIAS_NO_MES)/MESES_NO_ANO)*PERC_NASCIDOS_VIVOS_POPUL_FEM%*PERC_PARTIC_MASC_VIGIL%)*100</f>
        <v>0.04</v>
      </c>
      <c r="F31" s="89" t="s">
        <v>173</v>
      </c>
    </row>
    <row r="32" s="5" customFormat="true" ht="16.5" hidden="false" customHeight="true" outlineLevel="0" collapsed="false">
      <c r="B32" s="42" t="s">
        <v>22</v>
      </c>
      <c r="C32" s="23" t="s">
        <v>174</v>
      </c>
      <c r="D32" s="23"/>
      <c r="E32" s="93" t="n">
        <f aca="false">(DIAS_PAGOS_EMPRESA_ACID_TRAB/DIAS_NO_MES)/MESES_NO_ANO*PERC_EMPREG_AFAST_TRAB%*100</f>
        <v>0.02</v>
      </c>
      <c r="F32" s="90" t="s">
        <v>175</v>
      </c>
    </row>
    <row r="33" s="5" customFormat="true" ht="33" hidden="false" customHeight="true" outlineLevel="0" collapsed="false">
      <c r="B33" s="42" t="s">
        <v>25</v>
      </c>
      <c r="C33" s="72" t="s">
        <v>176</v>
      </c>
      <c r="D33" s="72"/>
      <c r="E33" s="89" t="n">
        <f aca="false">(((DIAS_LICENCA_MATERNIDADE/DIAS_NO_MES)/MESES_NO_ANO)*PERC_NASCIDOS_VIVOS_POPUL_FEM%*PERC_PARTIC_FEM_VIGIL%*PERC_GPS_FGTS%*100)</f>
        <v>0.14</v>
      </c>
      <c r="F33" s="89" t="s">
        <v>177</v>
      </c>
    </row>
    <row r="34" s="5" customFormat="true" ht="16.5" hidden="false" customHeight="false" outlineLevel="0" collapsed="false">
      <c r="B34" s="42" t="s">
        <v>51</v>
      </c>
      <c r="C34" s="23" t="str">
        <f aca="false">OUTRAS_AUSENCIAS_DESCRICAO</f>
        <v>Outras Ausências (Especificar - em %)</v>
      </c>
      <c r="D34" s="23"/>
      <c r="E34" s="93" t="n">
        <f aca="false">PERC_SUBSTITUTO_OUTRAS_AUSENCIAS</f>
        <v>0</v>
      </c>
      <c r="F34" s="90"/>
    </row>
    <row r="36" customFormat="false" ht="20.25" hidden="false" customHeight="false" outlineLevel="0" collapsed="false">
      <c r="B36" s="75" t="s">
        <v>98</v>
      </c>
    </row>
    <row r="37" customFormat="false" ht="42.75" hidden="false" customHeight="true" outlineLevel="0" collapsed="false">
      <c r="B37" s="78" t="s">
        <v>99</v>
      </c>
      <c r="C37" s="78"/>
      <c r="D37" s="78"/>
      <c r="E37" s="78"/>
      <c r="G37" s="97"/>
    </row>
  </sheetData>
  <sheetProtection sheet="true" objects="true" scenarios="true"/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8"/>
  <sheetViews>
    <sheetView showFormulas="false" showGridLines="true" showRowColHeaders="true" showZeros="true" rightToLeft="false" tabSelected="true" showOutlineSymbols="true" defaultGridColor="true" view="normal" topLeftCell="A100" colorId="64" zoomScale="100" zoomScaleNormal="100" zoomScalePageLayoutView="100" workbookViewId="0">
      <selection pane="topLeft" activeCell="B1" activeCellId="0" sqref="B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7.87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98" t="str">
        <f aca="false">RAMO</f>
        <v>RAMO: MINISTÉRIO PÚBLICO FEDERAL</v>
      </c>
      <c r="C1" s="98"/>
      <c r="D1" s="98"/>
      <c r="E1" s="98"/>
      <c r="F1" s="98"/>
    </row>
    <row r="2" customFormat="false" ht="20.25" hidden="false" customHeight="false" outlineLevel="0" collapsed="false">
      <c r="B2" s="99" t="str">
        <f aca="false">UG</f>
        <v>UNIDADE GESTORA (SIGLA): PR/AP</v>
      </c>
      <c r="C2" s="99"/>
      <c r="D2" s="99"/>
      <c r="E2" s="100" t="s">
        <v>2</v>
      </c>
      <c r="F2" s="101" t="n">
        <f aca="false">DATA_DO_ORCAMENTO_ESTIMATIVO</f>
        <v>43938</v>
      </c>
    </row>
    <row r="3" s="5" customFormat="true" ht="25.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5.95" hidden="false" customHeight="true" outlineLevel="0" collapsed="false">
      <c r="B4" s="7" t="s">
        <v>4</v>
      </c>
      <c r="C4" s="7"/>
      <c r="D4" s="7"/>
      <c r="E4" s="7"/>
      <c r="F4" s="7"/>
    </row>
    <row r="5" s="5" customFormat="true" ht="15.95" hidden="false" customHeight="true" outlineLevel="0" collapsed="false">
      <c r="B5" s="8" t="s">
        <v>179</v>
      </c>
      <c r="C5" s="8"/>
      <c r="D5" s="24" t="str">
        <f aca="false">NUMERO_PROCESSO</f>
        <v>1.12.000.001095/2019-21</v>
      </c>
      <c r="E5" s="24"/>
      <c r="F5" s="24"/>
    </row>
    <row r="6" s="5" customFormat="true" ht="15.75" hidden="false" customHeight="true" outlineLevel="0" collapsed="false">
      <c r="B6" s="10" t="s">
        <v>180</v>
      </c>
      <c r="C6" s="10"/>
      <c r="D6" s="102" t="str">
        <f aca="false">MODALIDADE_DE_LICITACAO</f>
        <v>Pregão nº</v>
      </c>
      <c r="E6" s="102"/>
      <c r="F6" s="103" t="str">
        <f aca="false">NUMERO_PREGAO</f>
        <v>XX/20XX</v>
      </c>
    </row>
    <row r="7" s="13" customFormat="true" ht="15.75" hidden="false" customHeight="true" outlineLevel="0" collapsed="false">
      <c r="B7" s="104" t="s">
        <v>181</v>
      </c>
      <c r="C7" s="104"/>
      <c r="D7" s="104"/>
      <c r="E7" s="104"/>
      <c r="F7" s="104"/>
    </row>
    <row r="8" s="5" customFormat="true" ht="18" hidden="false" customHeight="true" outlineLevel="0" collapsed="false">
      <c r="B8" s="17" t="s">
        <v>14</v>
      </c>
      <c r="C8" s="8" t="s">
        <v>15</v>
      </c>
      <c r="D8" s="8"/>
      <c r="E8" s="8"/>
      <c r="F8" s="105" t="str">
        <f aca="false">DATA_APRESENTACAO_PROPOSTA</f>
        <v>XX/XX/20XX</v>
      </c>
    </row>
    <row r="9" s="5" customFormat="true" ht="15.95" hidden="false" customHeight="true" outlineLevel="0" collapsed="false">
      <c r="B9" s="19" t="s">
        <v>16</v>
      </c>
      <c r="C9" s="20" t="s">
        <v>17</v>
      </c>
      <c r="D9" s="86" t="str">
        <f aca="false">IF(LOCAL_DE_EXECUCAO="","",LOCAL_DE_EXECUCAO)</f>
        <v>Sede e Anexo</v>
      </c>
      <c r="E9" s="86"/>
      <c r="F9" s="86"/>
    </row>
    <row r="10" s="5" customFormat="true" ht="18.75" hidden="false" customHeight="true" outlineLevel="0" collapsed="false">
      <c r="B10" s="17" t="s">
        <v>19</v>
      </c>
      <c r="C10" s="8" t="s">
        <v>23</v>
      </c>
      <c r="D10" s="8"/>
      <c r="E10" s="8"/>
      <c r="F10" s="106" t="str">
        <f aca="false">ACORDO_COLETIVO</f>
        <v>XX/2019</v>
      </c>
    </row>
    <row r="11" s="5" customFormat="true" ht="15.95" hidden="false" customHeight="true" outlineLevel="0" collapsed="false">
      <c r="B11" s="19" t="s">
        <v>22</v>
      </c>
      <c r="C11" s="86" t="s">
        <v>26</v>
      </c>
      <c r="D11" s="86"/>
      <c r="E11" s="86"/>
      <c r="F11" s="52" t="n">
        <f aca="false">NUMERO_MESES_EXEC_CONTRATUAL</f>
        <v>12</v>
      </c>
    </row>
    <row r="12" s="5" customFormat="true" ht="16.5" hidden="false" customHeight="false" outlineLevel="0" collapsed="false">
      <c r="B12" s="19" t="s">
        <v>25</v>
      </c>
      <c r="C12" s="107" t="s">
        <v>182</v>
      </c>
      <c r="D12" s="107"/>
      <c r="E12" s="107"/>
      <c r="F12" s="24" t="n">
        <f aca="false">IF(QTDE_POSTOS="","",QTDE_POSTOS)</f>
        <v>1</v>
      </c>
    </row>
    <row r="13" s="108" customFormat="true" ht="15" hidden="false" customHeight="true" outlineLevel="0" collapsed="false">
      <c r="B13" s="109" t="s">
        <v>42</v>
      </c>
      <c r="C13" s="110"/>
      <c r="D13" s="110"/>
      <c r="E13" s="110"/>
      <c r="F13" s="110"/>
    </row>
    <row r="14" s="5" customFormat="true" ht="16.5" hidden="false" customHeight="false" outlineLevel="0" collapsed="false">
      <c r="B14" s="17" t="n">
        <v>1</v>
      </c>
      <c r="C14" s="8" t="s">
        <v>183</v>
      </c>
      <c r="D14" s="8"/>
      <c r="E14" s="24" t="str">
        <f aca="false">IF(TIPO_DE_SERVICO="","",TIPO_DE_SERVICO)</f>
        <v>Prestação do serviço de garçom na Procuradoria da República no Estado do Amapá.</v>
      </c>
      <c r="F14" s="24"/>
    </row>
    <row r="15" s="13" customFormat="true" ht="16.5" hidden="false" customHeight="false" outlineLevel="0" collapsed="false">
      <c r="B15" s="17" t="n">
        <v>2</v>
      </c>
      <c r="C15" s="33" t="s">
        <v>36</v>
      </c>
      <c r="D15" s="52" t="str">
        <f aca="false">IF(CBO="","",CBO)</f>
        <v>5134-05</v>
      </c>
      <c r="E15" s="52"/>
      <c r="F15" s="52"/>
    </row>
    <row r="16" s="5" customFormat="true" ht="15" hidden="false" customHeight="true" outlineLevel="0" collapsed="false">
      <c r="B16" s="17" t="n">
        <v>3</v>
      </c>
      <c r="C16" s="32" t="s">
        <v>38</v>
      </c>
      <c r="D16" s="24" t="str">
        <f aca="false">IF(CATEGORIA_PROFISSIONAL="","",CATEGORIA_PROFISSIONAL)</f>
        <v>GARÇOM I</v>
      </c>
      <c r="E16" s="24"/>
      <c r="F16" s="24"/>
    </row>
    <row r="17" s="5" customFormat="true" ht="15" hidden="false" customHeight="true" outlineLevel="0" collapsed="false">
      <c r="B17" s="17" t="n">
        <v>4</v>
      </c>
      <c r="C17" s="10" t="s">
        <v>40</v>
      </c>
      <c r="D17" s="10"/>
      <c r="E17" s="10"/>
      <c r="F17" s="111" t="n">
        <f aca="false">DATA_BASE_CATEGORIA</f>
        <v>43466</v>
      </c>
    </row>
    <row r="18" s="112" customFormat="true" ht="20.25" hidden="false" customHeight="true" outlineLevel="0" collapsed="false">
      <c r="B18" s="113" t="s">
        <v>184</v>
      </c>
      <c r="C18" s="113"/>
      <c r="D18" s="113"/>
      <c r="E18" s="113"/>
      <c r="F18" s="113"/>
    </row>
    <row r="19" customFormat="false" ht="16.5" hidden="false" customHeight="false" outlineLevel="0" collapsed="false">
      <c r="B19" s="60" t="s">
        <v>185</v>
      </c>
      <c r="C19" s="60"/>
      <c r="D19" s="60"/>
      <c r="E19" s="60"/>
      <c r="F19" s="114" t="n">
        <f aca="false">IF(EMPREG_POR_POSTO="","",EMPREG_POR_POSTO)</f>
        <v>1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9" t="n">
        <v>1</v>
      </c>
      <c r="C21" s="41" t="s">
        <v>44</v>
      </c>
      <c r="D21" s="41"/>
      <c r="E21" s="41"/>
      <c r="F21" s="42" t="s">
        <v>83</v>
      </c>
    </row>
    <row r="22" customFormat="false" ht="16.5" hidden="false" customHeight="true" outlineLevel="0" collapsed="false">
      <c r="B22" s="19" t="s">
        <v>14</v>
      </c>
      <c r="C22" s="43" t="s">
        <v>186</v>
      </c>
      <c r="D22" s="43"/>
      <c r="E22" s="43"/>
      <c r="F22" s="115" t="n">
        <f aca="false">SALARIO_BASE</f>
        <v>1200.68</v>
      </c>
    </row>
    <row r="23" customFormat="false" ht="16.5" hidden="false" customHeight="true" outlineLevel="0" collapsed="false">
      <c r="B23" s="19" t="s">
        <v>16</v>
      </c>
      <c r="C23" s="23" t="s">
        <v>187</v>
      </c>
      <c r="D23" s="23"/>
      <c r="E23" s="23"/>
      <c r="F23" s="116" t="n">
        <f aca="false">PERC_ADIC_PERIC%*SALARIO_BASE</f>
        <v>0</v>
      </c>
    </row>
    <row r="24" customFormat="false" ht="15.75" hidden="false" customHeight="true" outlineLevel="0" collapsed="false">
      <c r="B24" s="19" t="s">
        <v>19</v>
      </c>
      <c r="C24" s="117" t="s">
        <v>188</v>
      </c>
      <c r="D24" s="117"/>
      <c r="E24" s="117"/>
      <c r="F24" s="115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9" t="s">
        <v>22</v>
      </c>
      <c r="C25" s="23" t="s">
        <v>189</v>
      </c>
      <c r="D25" s="23"/>
      <c r="E25" s="23"/>
      <c r="F25" s="116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9" t="s">
        <v>25</v>
      </c>
      <c r="C26" s="72" t="s">
        <v>190</v>
      </c>
      <c r="D26" s="72"/>
      <c r="E26" s="72"/>
      <c r="F26" s="115" t="n">
        <f aca="false">PERC_ADIC_INS%*SAL_MINIMO</f>
        <v>0</v>
      </c>
    </row>
    <row r="27" customFormat="false" ht="16.5" hidden="false" customHeight="false" outlineLevel="0" collapsed="false">
      <c r="B27" s="19" t="s">
        <v>51</v>
      </c>
      <c r="C27" s="46" t="str">
        <f aca="false">OUTROS_REMUNERACAO_1_DESCRICAO</f>
        <v>Outras Remunerações 1 (Especificar)</v>
      </c>
      <c r="D27" s="46"/>
      <c r="E27" s="46"/>
      <c r="F27" s="116" t="n">
        <f aca="false">OUTROS_REMUNERACAO_1</f>
        <v>0</v>
      </c>
    </row>
    <row r="28" customFormat="false" ht="16.5" hidden="false" customHeight="false" outlineLevel="0" collapsed="false">
      <c r="B28" s="19" t="s">
        <v>53</v>
      </c>
      <c r="C28" s="43" t="str">
        <f aca="false">OUTROS_REMUNERACAO_2_DESCRICAO</f>
        <v>Outras Remunerações 2 (Especificar)</v>
      </c>
      <c r="D28" s="43"/>
      <c r="E28" s="43"/>
      <c r="F28" s="115" t="n">
        <f aca="false">OUTROS_REMUNERACAO_2</f>
        <v>0</v>
      </c>
    </row>
    <row r="29" customFormat="false" ht="16.5" hidden="false" customHeight="false" outlineLevel="0" collapsed="false">
      <c r="B29" s="19" t="s">
        <v>130</v>
      </c>
      <c r="C29" s="46" t="str">
        <f aca="false">OUTROS_REMUNERACAO_3_DESCRICAO</f>
        <v>Outras Remunerações 3 (Especificar)</v>
      </c>
      <c r="D29" s="46"/>
      <c r="E29" s="46"/>
      <c r="F29" s="116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8" t="n">
        <f aca="false">SUM(F22:F29)</f>
        <v>1200.68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6"/>
      <c r="D32" s="57"/>
      <c r="E32" s="58"/>
      <c r="F32" s="58"/>
    </row>
    <row r="33" customFormat="false" ht="16.5" hidden="false" customHeight="false" outlineLevel="0" collapsed="false">
      <c r="B33" s="19" t="s">
        <v>137</v>
      </c>
      <c r="C33" s="60" t="s">
        <v>138</v>
      </c>
      <c r="D33" s="60"/>
      <c r="E33" s="42" t="s">
        <v>73</v>
      </c>
      <c r="F33" s="42" t="s">
        <v>83</v>
      </c>
    </row>
    <row r="34" customFormat="false" ht="16.5" hidden="false" customHeight="true" outlineLevel="0" collapsed="false">
      <c r="B34" s="19" t="s">
        <v>14</v>
      </c>
      <c r="C34" s="72" t="s">
        <v>140</v>
      </c>
      <c r="D34" s="72"/>
      <c r="E34" s="89" t="n">
        <f aca="false">PERC_DEC_TERC</f>
        <v>8.33</v>
      </c>
      <c r="F34" s="85" t="n">
        <f aca="false">PERC_DEC_TERC%*MOD_1_REMUNERACAO</f>
        <v>100.016644</v>
      </c>
    </row>
    <row r="35" s="83" customFormat="true" ht="16.5" hidden="false" customHeight="true" outlineLevel="0" collapsed="false">
      <c r="B35" s="42" t="s">
        <v>16</v>
      </c>
      <c r="C35" s="23" t="s">
        <v>142</v>
      </c>
      <c r="D35" s="23"/>
      <c r="E35" s="90" t="n">
        <f aca="false">PERC_ADIC_FERIAS</f>
        <v>2.78</v>
      </c>
      <c r="F35" s="87" t="n">
        <f aca="false">PERC_ADIC_FERIAS%*MOD_1_REMUNERACAO</f>
        <v>33.378904</v>
      </c>
    </row>
    <row r="36" s="48" customFormat="true" ht="16.5" hidden="false" customHeight="false" outlineLevel="0" collapsed="false">
      <c r="B36" s="60" t="s">
        <v>155</v>
      </c>
      <c r="C36" s="60"/>
      <c r="D36" s="60"/>
      <c r="E36" s="60"/>
      <c r="F36" s="119" t="n">
        <f aca="false">SUM(F34:F35)</f>
        <v>133.395548</v>
      </c>
    </row>
    <row r="37" s="48" customFormat="true" ht="31.5" hidden="false" customHeight="true" outlineLevel="0" collapsed="false">
      <c r="B37" s="120" t="s">
        <v>144</v>
      </c>
      <c r="C37" s="120"/>
      <c r="D37" s="120"/>
      <c r="E37" s="120"/>
      <c r="F37" s="120"/>
    </row>
    <row r="38" s="48" customFormat="true" ht="34.5" hidden="false" customHeight="true" outlineLevel="0" collapsed="false">
      <c r="B38" s="19" t="s">
        <v>145</v>
      </c>
      <c r="C38" s="92" t="s">
        <v>146</v>
      </c>
      <c r="D38" s="92"/>
      <c r="E38" s="42" t="s">
        <v>73</v>
      </c>
      <c r="F38" s="42" t="s">
        <v>83</v>
      </c>
    </row>
    <row r="39" customFormat="false" ht="16.5" hidden="false" customHeight="true" outlineLevel="0" collapsed="false">
      <c r="B39" s="19" t="s">
        <v>14</v>
      </c>
      <c r="C39" s="72" t="s">
        <v>147</v>
      </c>
      <c r="D39" s="72"/>
      <c r="E39" s="89" t="n">
        <f aca="false">PERC_INSS</f>
        <v>20</v>
      </c>
      <c r="F39" s="85" t="n">
        <f aca="false">PERC_INSS%*(MOD_1_REMUNERACAO+SUBMOD_2_1_DEC_TERC_ADIC_FERIAS)</f>
        <v>266.8151096</v>
      </c>
    </row>
    <row r="40" s="5" customFormat="true" ht="16.5" hidden="false" customHeight="true" outlineLevel="0" collapsed="false">
      <c r="B40" s="42" t="s">
        <v>16</v>
      </c>
      <c r="C40" s="23" t="s">
        <v>148</v>
      </c>
      <c r="D40" s="23"/>
      <c r="E40" s="93" t="n">
        <f aca="false">PERC_SAL_EDUCACAO</f>
        <v>2.5</v>
      </c>
      <c r="F40" s="87" t="n">
        <f aca="false">PERC_SAL_EDUCACAO%*(MOD_1_REMUNERACAO+SUBMOD_2_1_DEC_TERC_ADIC_FERIAS)</f>
        <v>33.3518887</v>
      </c>
    </row>
    <row r="41" s="5" customFormat="true" ht="16.5" hidden="false" customHeight="true" outlineLevel="0" collapsed="false">
      <c r="B41" s="42" t="s">
        <v>19</v>
      </c>
      <c r="C41" s="72" t="s">
        <v>149</v>
      </c>
      <c r="D41" s="72"/>
      <c r="E41" s="89" t="n">
        <f aca="false">PERC_RAT</f>
        <v>3</v>
      </c>
      <c r="F41" s="85" t="n">
        <f aca="false">PERC_RAT%*(MOD_1_REMUNERACAO+SUBMOD_2_1_DEC_TERC_ADIC_FERIAS)</f>
        <v>40.02226644</v>
      </c>
    </row>
    <row r="42" s="5" customFormat="true" ht="16.5" hidden="false" customHeight="true" outlineLevel="0" collapsed="false">
      <c r="B42" s="42" t="s">
        <v>22</v>
      </c>
      <c r="C42" s="23" t="s">
        <v>150</v>
      </c>
      <c r="D42" s="23"/>
      <c r="E42" s="90" t="n">
        <f aca="false">PERC_SESC</f>
        <v>1.5</v>
      </c>
      <c r="F42" s="87" t="n">
        <f aca="false">PERC_SESC%*(MOD_1_REMUNERACAO+SUBMOD_2_1_DEC_TERC_ADIC_FERIAS)</f>
        <v>20.01113322</v>
      </c>
    </row>
    <row r="43" s="5" customFormat="true" ht="16.5" hidden="false" customHeight="true" outlineLevel="0" collapsed="false">
      <c r="B43" s="42" t="s">
        <v>25</v>
      </c>
      <c r="C43" s="72" t="s">
        <v>151</v>
      </c>
      <c r="D43" s="72"/>
      <c r="E43" s="89" t="n">
        <f aca="false">PERC_SENAC</f>
        <v>1</v>
      </c>
      <c r="F43" s="85" t="n">
        <f aca="false">PERC_SENAC%*(MOD_1_REMUNERACAO+SUBMOD_2_1_DEC_TERC_ADIC_FERIAS)</f>
        <v>13.34075548</v>
      </c>
    </row>
    <row r="44" s="13" customFormat="true" ht="16.5" hidden="false" customHeight="true" outlineLevel="0" collapsed="false">
      <c r="B44" s="42" t="s">
        <v>51</v>
      </c>
      <c r="C44" s="23" t="s">
        <v>152</v>
      </c>
      <c r="D44" s="23"/>
      <c r="E44" s="93" t="n">
        <f aca="false">PERC_SEBRAE</f>
        <v>0.6</v>
      </c>
      <c r="F44" s="87" t="n">
        <f aca="false">PERC_SEBRAE%*(MOD_1_REMUNERACAO+SUBMOD_2_1_DEC_TERC_ADIC_FERIAS)</f>
        <v>8.004453288</v>
      </c>
    </row>
    <row r="45" s="13" customFormat="true" ht="16.5" hidden="false" customHeight="true" outlineLevel="0" collapsed="false">
      <c r="B45" s="42" t="s">
        <v>53</v>
      </c>
      <c r="C45" s="72" t="s">
        <v>153</v>
      </c>
      <c r="D45" s="72"/>
      <c r="E45" s="89" t="n">
        <f aca="false">PERC_INCRA</f>
        <v>0.2</v>
      </c>
      <c r="F45" s="85" t="n">
        <f aca="false">PERC_INCRA%*(MOD_1_REMUNERACAO+SUBMOD_2_1_DEC_TERC_ADIC_FERIAS)</f>
        <v>2.668151096</v>
      </c>
    </row>
    <row r="46" customFormat="false" ht="16.5" hidden="false" customHeight="true" outlineLevel="0" collapsed="false">
      <c r="B46" s="42" t="s">
        <v>130</v>
      </c>
      <c r="C46" s="23" t="s">
        <v>154</v>
      </c>
      <c r="D46" s="23"/>
      <c r="E46" s="93" t="n">
        <f aca="false">PERC_FGTS</f>
        <v>8</v>
      </c>
      <c r="F46" s="87" t="n">
        <f aca="false">PERC_FGTS%*(MOD_1_REMUNERACAO+SUBMOD_2_1_DEC_TERC_ADIC_FERIAS)</f>
        <v>106.72604384</v>
      </c>
    </row>
    <row r="47" customFormat="false" ht="16.5" hidden="false" customHeight="false" outlineLevel="0" collapsed="false">
      <c r="B47" s="60" t="s">
        <v>155</v>
      </c>
      <c r="C47" s="60"/>
      <c r="D47" s="60"/>
      <c r="E47" s="60"/>
      <c r="F47" s="121" t="n">
        <f aca="false">SUM(F39:F46)</f>
        <v>490.939801664</v>
      </c>
    </row>
    <row r="48" customFormat="false" ht="15.75" hidden="false" customHeight="true" outlineLevel="0" collapsed="false">
      <c r="B48" s="39" t="s">
        <v>56</v>
      </c>
      <c r="C48" s="13"/>
      <c r="D48" s="13"/>
      <c r="E48" s="13"/>
      <c r="F48" s="13"/>
    </row>
    <row r="49" customFormat="false" ht="15.75" hidden="false" customHeight="true" outlineLevel="0" collapsed="false">
      <c r="B49" s="19" t="s">
        <v>57</v>
      </c>
      <c r="C49" s="41" t="s">
        <v>58</v>
      </c>
      <c r="D49" s="41"/>
      <c r="E49" s="41"/>
      <c r="F49" s="42" t="s">
        <v>83</v>
      </c>
    </row>
    <row r="50" customFormat="false" ht="16.5" hidden="false" customHeight="true" outlineLevel="0" collapsed="false">
      <c r="B50" s="17" t="s">
        <v>14</v>
      </c>
      <c r="C50" s="72" t="s">
        <v>61</v>
      </c>
      <c r="D50" s="72"/>
      <c r="E50" s="72"/>
      <c r="F50" s="85" t="n">
        <f aca="false">IF(((TRANSPORTE_POR_DIA*DIAS_TRABALHADOS_NO_MES)-(PERC_DESC_TRANSP_REMUNERACAO%*(AL_1_A_SAL_BASE/2)))&gt;0,((TRANSPORTE_POR_DIA*DIAS_TRABALHADOS_NO_MES)-(PERC_DESC_TRANSP_REMUNERACAO%*(AL_1_A_SAL_BASE/2))),0)</f>
        <v>289.5796</v>
      </c>
    </row>
    <row r="51" s="48" customFormat="true" ht="16.5" hidden="false" customHeight="true" outlineLevel="0" collapsed="false">
      <c r="B51" s="17" t="s">
        <v>16</v>
      </c>
      <c r="C51" s="23" t="s">
        <v>63</v>
      </c>
      <c r="D51" s="23"/>
      <c r="E51" s="23"/>
      <c r="F51" s="87" t="n">
        <f aca="false">ALIMENTACAO_POR_DIA*DIAS_TRABALHADOS_NO_MES</f>
        <v>399.96</v>
      </c>
    </row>
    <row r="52" s="48" customFormat="true" ht="16.5" hidden="false" customHeight="false" outlineLevel="0" collapsed="false">
      <c r="B52" s="17" t="s">
        <v>19</v>
      </c>
      <c r="C52" s="43" t="str">
        <f aca="false">OUTROS_BENEFICIOS_1_DESCRICAO</f>
        <v>Auxílio Funeral</v>
      </c>
      <c r="D52" s="43"/>
      <c r="E52" s="43"/>
      <c r="F52" s="85" t="n">
        <f aca="false">OUTROS_BENEFICIOS_1</f>
        <v>15</v>
      </c>
    </row>
    <row r="53" s="48" customFormat="true" ht="16.5" hidden="false" customHeight="false" outlineLevel="0" collapsed="false">
      <c r="B53" s="17" t="s">
        <v>22</v>
      </c>
      <c r="C53" s="46" t="str">
        <f aca="false">OUTROS_BENEFICIOS_2_DESCRICAO</f>
        <v>Outros Benefícios 2 (Especificar)</v>
      </c>
      <c r="D53" s="46"/>
      <c r="E53" s="46"/>
      <c r="F53" s="87" t="n">
        <f aca="false">OUTROS_BENEFICIOS_2</f>
        <v>0</v>
      </c>
    </row>
    <row r="54" s="48" customFormat="true" ht="16.5" hidden="false" customHeight="false" outlineLevel="0" collapsed="false">
      <c r="B54" s="17" t="s">
        <v>25</v>
      </c>
      <c r="C54" s="43" t="str">
        <f aca="false">OUTROS_BENEFICIOS_3_DESCRICAO</f>
        <v>Outros Benefícios 3 (Especificar)</v>
      </c>
      <c r="D54" s="43"/>
      <c r="E54" s="43"/>
      <c r="F54" s="85" t="n">
        <f aca="false">OUTROS_BENEFICIOS_3</f>
        <v>0</v>
      </c>
    </row>
    <row r="55" s="48" customFormat="true" ht="15" hidden="false" customHeight="true" outlineLevel="0" collapsed="false">
      <c r="B55" s="41" t="s">
        <v>155</v>
      </c>
      <c r="C55" s="41"/>
      <c r="D55" s="41"/>
      <c r="E55" s="41"/>
      <c r="F55" s="118" t="n">
        <f aca="false">SUM(F50:F54)</f>
        <v>704.5396</v>
      </c>
    </row>
    <row r="56" s="48" customFormat="true" ht="16.5" hidden="false" customHeight="false" outlineLevel="0" collapsed="false">
      <c r="B56" s="39" t="s">
        <v>114</v>
      </c>
      <c r="C56" s="56"/>
      <c r="D56" s="57"/>
      <c r="E56" s="58"/>
      <c r="F56" s="58"/>
    </row>
    <row r="57" s="48" customFormat="true" ht="15" hidden="false" customHeight="true" outlineLevel="0" collapsed="false">
      <c r="B57" s="19" t="n">
        <v>3</v>
      </c>
      <c r="C57" s="60" t="s">
        <v>115</v>
      </c>
      <c r="D57" s="60"/>
      <c r="E57" s="42" t="s">
        <v>73</v>
      </c>
      <c r="F57" s="42" t="s">
        <v>83</v>
      </c>
    </row>
    <row r="58" s="48" customFormat="true" ht="16.5" hidden="false" customHeight="false" outlineLevel="0" collapsed="false">
      <c r="B58" s="19" t="s">
        <v>14</v>
      </c>
      <c r="C58" s="95" t="s">
        <v>156</v>
      </c>
      <c r="D58" s="95"/>
      <c r="E58" s="89" t="n">
        <f aca="false">PERC_AVISO_PREVIO_IND</f>
        <v>0.29</v>
      </c>
      <c r="F58" s="85" t="n">
        <f aca="false">PERC_AVISO_PREVIO_IND%*(MOD_1_REMUNERACAO+SUBMOD_2_1_DEC_TERC_ADIC_FERIAS+AL_2_2_FGTS+SUBMOD_2_3_BENEFICIOS)</f>
        <v>6.221489456336</v>
      </c>
    </row>
    <row r="59" s="48" customFormat="true" ht="16.5" hidden="false" customHeight="false" outlineLevel="0" collapsed="false">
      <c r="B59" s="42" t="s">
        <v>16</v>
      </c>
      <c r="C59" s="96" t="s">
        <v>158</v>
      </c>
      <c r="D59" s="96"/>
      <c r="E59" s="93" t="n">
        <f aca="false">PERC_FGTS_AVISO_PREV_IND</f>
        <v>0.02</v>
      </c>
      <c r="F59" s="87" t="n">
        <f aca="false">PERC_FGTS_AVISO_PREV_IND%*(MOD_1_REMUNERACAO+SUBMOD_2_1_DEC_TERC_ADIC_FERIAS)</f>
        <v>0.2668151096</v>
      </c>
    </row>
    <row r="60" s="5" customFormat="true" ht="34.5" hidden="false" customHeight="true" outlineLevel="0" collapsed="false">
      <c r="B60" s="42" t="s">
        <v>19</v>
      </c>
      <c r="C60" s="95" t="s">
        <v>160</v>
      </c>
      <c r="D60" s="95"/>
      <c r="E60" s="89" t="n">
        <f aca="false">PERC_MULTA_FGTS_AV_PREV_IND</f>
        <v>0.01</v>
      </c>
      <c r="F60" s="85" t="n">
        <f aca="false">PERC_MULTA_FGTS_AV_PREV_IND%*(MOD_1_REMUNERACAO+SUBMOD_2_1_DEC_TERC_ADIC_FERIAS)</f>
        <v>0.1334075548</v>
      </c>
    </row>
    <row r="61" s="48" customFormat="true" ht="16.5" hidden="false" customHeight="false" outlineLevel="0" collapsed="false">
      <c r="B61" s="42" t="s">
        <v>22</v>
      </c>
      <c r="C61" s="96" t="s">
        <v>162</v>
      </c>
      <c r="D61" s="96"/>
      <c r="E61" s="93" t="n">
        <f aca="false">PERC_AVISO_PREVIO_TRAB</f>
        <v>1.16</v>
      </c>
      <c r="F61" s="87" t="n">
        <f aca="false">PERC_AVISO_PREVIO_TRAB%*(MOD_1_REMUNERACAO+SUBMOD_2_1_DEC_TERC_ADIC_FERIAS+SUBMOD_2_2_GPS_FGTS+SUBMOD_2_3_BENEFICIOS)</f>
        <v>29.3428374161024</v>
      </c>
    </row>
    <row r="62" s="5" customFormat="true" ht="35.25" hidden="false" customHeight="true" outlineLevel="0" collapsed="false">
      <c r="B62" s="42" t="s">
        <v>25</v>
      </c>
      <c r="C62" s="95" t="s">
        <v>164</v>
      </c>
      <c r="D62" s="95"/>
      <c r="E62" s="89" t="n">
        <f aca="false">PERC_GPS_FGTS_AVISO_PREVIO_TRAB</f>
        <v>0.43</v>
      </c>
      <c r="F62" s="85" t="n">
        <f aca="false">PERC_GPS_FGTS_AVISO_PREVIO_TRAB%*(MOD_1_REMUNERACAO+SUBMOD_2_1_DEC_TERC_ADIC_FERIAS)</f>
        <v>5.7365248564</v>
      </c>
    </row>
    <row r="63" s="5" customFormat="true" ht="32.25" hidden="false" customHeight="true" outlineLevel="0" collapsed="false">
      <c r="B63" s="42" t="s">
        <v>51</v>
      </c>
      <c r="C63" s="96" t="s">
        <v>166</v>
      </c>
      <c r="D63" s="96"/>
      <c r="E63" s="93" t="n">
        <f aca="false">PERC_MULTA_FGTS_AV_PREV_TRAB</f>
        <v>0.05</v>
      </c>
      <c r="F63" s="87" t="n">
        <f aca="false">PERC_MULTA_FGTS_AV_PREV_TRAB%*(MOD_1_REMUNERACAO+SUBMOD_2_1_DEC_TERC_ADIC_FERIAS)</f>
        <v>0.667037774</v>
      </c>
    </row>
    <row r="64" s="5" customFormat="true" ht="16.5" hidden="false" customHeight="false" outlineLevel="0" collapsed="false">
      <c r="B64" s="60" t="s">
        <v>155</v>
      </c>
      <c r="C64" s="60"/>
      <c r="D64" s="60"/>
      <c r="E64" s="60"/>
      <c r="F64" s="119" t="n">
        <f aca="false">SUM(F58:F63)</f>
        <v>42.3681121672384</v>
      </c>
    </row>
    <row r="65" customFormat="false" ht="7.5" hidden="false" customHeight="true" outlineLevel="0" collapsed="false">
      <c r="B65" s="122"/>
      <c r="C65" s="83"/>
      <c r="D65" s="31"/>
      <c r="E65" s="40"/>
      <c r="F65" s="40"/>
    </row>
    <row r="66" s="5" customFormat="true" ht="15.95" hidden="false" customHeight="true" outlineLevel="0" collapsed="false">
      <c r="B66" s="39" t="s">
        <v>69</v>
      </c>
      <c r="C66" s="56"/>
      <c r="D66" s="57"/>
      <c r="E66" s="1"/>
      <c r="F66" s="1"/>
    </row>
    <row r="67" s="5" customFormat="true" ht="15.95" hidden="false" customHeight="true" outlineLevel="0" collapsed="false">
      <c r="B67" s="39" t="s">
        <v>70</v>
      </c>
      <c r="C67" s="56"/>
      <c r="D67" s="57"/>
      <c r="E67" s="58"/>
      <c r="F67" s="58"/>
    </row>
    <row r="68" s="5" customFormat="true" ht="16.5" hidden="false" customHeight="true" outlineLevel="0" collapsed="false">
      <c r="B68" s="19" t="s">
        <v>71</v>
      </c>
      <c r="C68" s="41" t="s">
        <v>72</v>
      </c>
      <c r="D68" s="41"/>
      <c r="E68" s="42" t="s">
        <v>73</v>
      </c>
      <c r="F68" s="42" t="s">
        <v>83</v>
      </c>
    </row>
    <row r="69" s="5" customFormat="true" ht="15.95" hidden="false" customHeight="true" outlineLevel="0" collapsed="false">
      <c r="B69" s="42" t="s">
        <v>14</v>
      </c>
      <c r="C69" s="72" t="s">
        <v>168</v>
      </c>
      <c r="D69" s="72"/>
      <c r="E69" s="89" t="n">
        <f aca="false">PERC_SUBSTITUTO_FERIAS</f>
        <v>8.33</v>
      </c>
      <c r="F69" s="85" t="n">
        <f aca="false">PERC_SUBSTITUTO_FERIAS%*(MOD_1_REMUNERACAO+MOD_2_ENCARGOS_BENEFICIOS+MOD_3_PROVISAO_RESCISAO)</f>
        <v>214.241191050542</v>
      </c>
    </row>
    <row r="70" s="5" customFormat="true" ht="15.95" hidden="false" customHeight="true" outlineLevel="0" collapsed="false">
      <c r="B70" s="42" t="s">
        <v>16</v>
      </c>
      <c r="C70" s="23" t="s">
        <v>170</v>
      </c>
      <c r="D70" s="23"/>
      <c r="E70" s="93" t="n">
        <f aca="false">PERC_SUBSTITUTO_AUSENCIAS_LEGAIS</f>
        <v>2.22</v>
      </c>
      <c r="F70" s="87" t="n">
        <f aca="false">PERC_SUBSTITUTO_AUSENCIAS_LEGAIS%*(MOD_1_REMUNERACAO+MOD_2_ENCARGOS_BENEFICIOS+MOD_3_PROVISAO_RESCISAO)</f>
        <v>57.0966919726535</v>
      </c>
    </row>
    <row r="71" s="5" customFormat="true" ht="15.95" hidden="false" customHeight="true" outlineLevel="0" collapsed="false">
      <c r="B71" s="42" t="s">
        <v>19</v>
      </c>
      <c r="C71" s="72" t="s">
        <v>172</v>
      </c>
      <c r="D71" s="72"/>
      <c r="E71" s="89" t="n">
        <f aca="false">PERC_SUBSTITUTO_LICENCA_PATERNIDADE</f>
        <v>0.04</v>
      </c>
      <c r="F71" s="85" t="n">
        <f aca="false">PERC_SUBSTITUTO_LICENCA_PATERNIDADE%*(MOD_1_REMUNERACAO+MOD_2_ENCARGOS_BENEFICIOS+MOD_3_PROVISAO_RESCISAO)</f>
        <v>1.0287692247325</v>
      </c>
    </row>
    <row r="72" s="5" customFormat="true" ht="16.5" hidden="false" customHeight="true" outlineLevel="0" collapsed="false">
      <c r="B72" s="42" t="s">
        <v>22</v>
      </c>
      <c r="C72" s="23" t="s">
        <v>174</v>
      </c>
      <c r="D72" s="23"/>
      <c r="E72" s="93" t="n">
        <f aca="false">PERC_SUBSTITUTO_ACID_TRAB</f>
        <v>0.02</v>
      </c>
      <c r="F72" s="87" t="n">
        <f aca="false">PERC_SUBSTITUTO_ACID_TRAB%*(MOD_1_REMUNERACAO+MOD_2_ENCARGOS_BENEFICIOS+MOD_3_PROVISAO_RESCISAO)</f>
        <v>0.514384612366248</v>
      </c>
    </row>
    <row r="73" s="5" customFormat="true" ht="16.5" hidden="false" customHeight="true" outlineLevel="0" collapsed="false">
      <c r="B73" s="42" t="s">
        <v>25</v>
      </c>
      <c r="C73" s="72" t="s">
        <v>176</v>
      </c>
      <c r="D73" s="72"/>
      <c r="E73" s="89" t="n">
        <f aca="false">PERC_SUBSTITUTO_AFAST_MATERN</f>
        <v>0.14</v>
      </c>
      <c r="F73" s="85" t="n">
        <f aca="false">PERC_SUBSTITUTO_AFAST_MATERN%*(MOD_1_REMUNERACAO+MOD_2_ENCARGOS_BENEFICIOS+MOD_3_PROVISAO_RESCISAO)</f>
        <v>3.60069228656373</v>
      </c>
    </row>
    <row r="74" s="5" customFormat="true" ht="16.5" hidden="false" customHeight="false" outlineLevel="0" collapsed="false">
      <c r="B74" s="42" t="s">
        <v>51</v>
      </c>
      <c r="C74" s="123" t="str">
        <f aca="false">OUTRAS_AUSENCIAS_DESCRICAO</f>
        <v>Outras Ausências (Especificar - em %)</v>
      </c>
      <c r="D74" s="123"/>
      <c r="E74" s="124" t="n">
        <f aca="false">PERC_SUBSTITUTO_OUTRAS_AUSENCIAS</f>
        <v>0</v>
      </c>
      <c r="F74" s="87" t="n">
        <f aca="false">PERC_SUBSTITUTO_OUTRAS_AUSENCIAS%*(MOD_1_REMUNERACAO+MOD_2_ENCARGOS_BENEFICIOS+MOD_3_PROVISAO_RESCISAO)</f>
        <v>0</v>
      </c>
    </row>
    <row r="75" s="5" customFormat="true" ht="16.5" hidden="false" customHeight="false" outlineLevel="0" collapsed="false">
      <c r="B75" s="60" t="s">
        <v>155</v>
      </c>
      <c r="C75" s="60"/>
      <c r="D75" s="60"/>
      <c r="E75" s="60"/>
      <c r="F75" s="119" t="n">
        <f aca="false">SUM(F69:F74)</f>
        <v>276.481729146858</v>
      </c>
    </row>
    <row r="76" s="5" customFormat="true" ht="15" hidden="false" customHeight="true" outlineLevel="0" collapsed="false">
      <c r="B76" s="39" t="s">
        <v>75</v>
      </c>
      <c r="C76" s="56"/>
      <c r="D76" s="57"/>
      <c r="E76" s="58"/>
      <c r="F76" s="58"/>
    </row>
    <row r="77" s="5" customFormat="true" ht="16.5" hidden="false" customHeight="false" outlineLevel="0" collapsed="false">
      <c r="B77" s="19" t="s">
        <v>76</v>
      </c>
      <c r="C77" s="60" t="s">
        <v>77</v>
      </c>
      <c r="D77" s="60"/>
      <c r="E77" s="60"/>
      <c r="F77" s="42" t="s">
        <v>83</v>
      </c>
    </row>
    <row r="78" s="5" customFormat="true" ht="16.5" hidden="false" customHeight="true" outlineLevel="0" collapsed="false">
      <c r="B78" s="19" t="s">
        <v>14</v>
      </c>
      <c r="C78" s="72" t="s">
        <v>191</v>
      </c>
      <c r="D78" s="72"/>
      <c r="E78" s="72"/>
      <c r="F78" s="115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79" s="5" customFormat="true" ht="16.5" hidden="false" customHeight="false" outlineLevel="0" collapsed="false">
      <c r="B79" s="60" t="s">
        <v>155</v>
      </c>
      <c r="C79" s="60"/>
      <c r="D79" s="60"/>
      <c r="E79" s="60"/>
      <c r="F79" s="119" t="n">
        <f aca="false">SUM(F78)</f>
        <v>0</v>
      </c>
    </row>
    <row r="80" customFormat="false" ht="7.5" hidden="false" customHeight="true" outlineLevel="0" collapsed="false">
      <c r="B80" s="122"/>
      <c r="C80" s="83"/>
      <c r="D80" s="31"/>
      <c r="E80" s="40"/>
      <c r="F80" s="40"/>
    </row>
    <row r="81" customFormat="false" ht="16.5" hidden="false" customHeight="false" outlineLevel="0" collapsed="false">
      <c r="B81" s="39" t="s">
        <v>81</v>
      </c>
      <c r="C81" s="56"/>
      <c r="D81" s="56"/>
      <c r="E81" s="58"/>
      <c r="F81" s="58"/>
    </row>
    <row r="82" customFormat="false" ht="15.75" hidden="false" customHeight="true" outlineLevel="0" collapsed="false">
      <c r="B82" s="61" t="n">
        <v>5</v>
      </c>
      <c r="C82" s="62" t="s">
        <v>82</v>
      </c>
      <c r="D82" s="62"/>
      <c r="E82" s="62"/>
      <c r="F82" s="63" t="s">
        <v>83</v>
      </c>
    </row>
    <row r="83" customFormat="false" ht="16.5" hidden="false" customHeight="true" outlineLevel="0" collapsed="false">
      <c r="B83" s="64" t="s">
        <v>14</v>
      </c>
      <c r="C83" s="65" t="s">
        <v>84</v>
      </c>
      <c r="D83" s="65"/>
      <c r="E83" s="65"/>
      <c r="F83" s="125" t="n">
        <f aca="false">UNIFORMES</f>
        <v>43.246</v>
      </c>
    </row>
    <row r="84" customFormat="false" ht="16.5" hidden="false" customHeight="true" outlineLevel="0" collapsed="false">
      <c r="B84" s="64" t="s">
        <v>16</v>
      </c>
      <c r="C84" s="67" t="s">
        <v>85</v>
      </c>
      <c r="D84" s="67"/>
      <c r="E84" s="67"/>
      <c r="F84" s="126" t="n">
        <f aca="false">MATERIAIS</f>
        <v>181.215</v>
      </c>
    </row>
    <row r="85" customFormat="false" ht="16.5" hidden="false" customHeight="true" outlineLevel="0" collapsed="false">
      <c r="B85" s="64" t="s">
        <v>19</v>
      </c>
      <c r="C85" s="65" t="s">
        <v>86</v>
      </c>
      <c r="D85" s="65"/>
      <c r="E85" s="65"/>
      <c r="F85" s="125" t="n">
        <f aca="false">EQUIPAMENTOS</f>
        <v>0</v>
      </c>
    </row>
    <row r="86" customFormat="false" ht="16.5" hidden="false" customHeight="false" outlineLevel="0" collapsed="false">
      <c r="B86" s="64" t="s">
        <v>22</v>
      </c>
      <c r="C86" s="127" t="str">
        <f aca="false">OUTROS_INSUMOS_DESCRICAO</f>
        <v>Outros (Especificar)</v>
      </c>
      <c r="D86" s="127"/>
      <c r="E86" s="127"/>
      <c r="F86" s="126" t="n">
        <f aca="false">OUTROS_INSUMOS</f>
        <v>0</v>
      </c>
    </row>
    <row r="87" customFormat="false" ht="16.5" hidden="false" customHeight="true" outlineLevel="0" collapsed="false">
      <c r="B87" s="62" t="s">
        <v>155</v>
      </c>
      <c r="C87" s="62"/>
      <c r="D87" s="62"/>
      <c r="E87" s="62"/>
      <c r="F87" s="128" t="n">
        <f aca="false">SUM(F83:F86)</f>
        <v>224.461</v>
      </c>
    </row>
    <row r="88" customFormat="false" ht="7.5" hidden="false" customHeight="true" outlineLevel="0" collapsed="false">
      <c r="B88" s="122"/>
      <c r="C88" s="83"/>
      <c r="D88" s="31"/>
      <c r="E88" s="40"/>
      <c r="F88" s="40"/>
    </row>
    <row r="89" customFormat="false" ht="15" hidden="false" customHeight="true" outlineLevel="0" collapsed="false">
      <c r="B89" s="70" t="s">
        <v>88</v>
      </c>
      <c r="C89" s="70"/>
      <c r="D89" s="70"/>
      <c r="E89" s="70"/>
      <c r="F89" s="70"/>
    </row>
    <row r="90" customFormat="false" ht="16.5" hidden="false" customHeight="false" outlineLevel="0" collapsed="false">
      <c r="B90" s="19" t="n">
        <v>6</v>
      </c>
      <c r="C90" s="60" t="s">
        <v>89</v>
      </c>
      <c r="D90" s="60"/>
      <c r="E90" s="42" t="s">
        <v>73</v>
      </c>
      <c r="F90" s="42" t="s">
        <v>83</v>
      </c>
    </row>
    <row r="91" customFormat="false" ht="16.5" hidden="false" customHeight="true" outlineLevel="0" collapsed="false">
      <c r="B91" s="19" t="s">
        <v>14</v>
      </c>
      <c r="C91" s="72" t="s">
        <v>90</v>
      </c>
      <c r="D91" s="72"/>
      <c r="E91" s="129" t="n">
        <f aca="false">PERC_CUSTOS_INDIRETOS</f>
        <v>4.73</v>
      </c>
      <c r="F91" s="85" t="n">
        <f aca="false">PERC_CUSTOS_INDIRETOS%*(MOD_1_REMUNERACAO+MOD_2_ENCARGOS_BENEFICIOS+MOD_3_PROVISAO_RESCISAO+MOD_4_CUSTO_REPOSICAO+MOD_5_INSUMOS)</f>
        <v>145.346551913264</v>
      </c>
    </row>
    <row r="92" customFormat="false" ht="15.75" hidden="false" customHeight="true" outlineLevel="0" collapsed="false">
      <c r="B92" s="42" t="s">
        <v>16</v>
      </c>
      <c r="C92" s="23" t="s">
        <v>91</v>
      </c>
      <c r="D92" s="23"/>
      <c r="E92" s="130" t="n">
        <f aca="false">PERC_LUCRO</f>
        <v>5.57</v>
      </c>
      <c r="F92" s="87" t="n">
        <f aca="false">PERC_LUCRO%*(MOD_1_REMUNERACAO+MOD_2_ENCARGOS_BENEFICIOS+MOD_3_PROVISAO_RESCISAO+MOD_4_CUSTO_REPOSICAO+MOD_5_INSUMOS+AL_6_A_CUSTOS_INDIRETOS)</f>
        <v>179.254427499049</v>
      </c>
    </row>
    <row r="93" customFormat="false" ht="16.5" hidden="false" customHeight="true" outlineLevel="0" collapsed="false">
      <c r="B93" s="42" t="s">
        <v>19</v>
      </c>
      <c r="C93" s="72" t="s">
        <v>192</v>
      </c>
      <c r="D93" s="72"/>
      <c r="E93" s="129" t="n">
        <f aca="false">SUM(E94:E96)</f>
        <v>8.65</v>
      </c>
      <c r="F93" s="85" t="n">
        <f aca="false">SUM(F94:F96)</f>
        <v>321.708676123449</v>
      </c>
    </row>
    <row r="94" customFormat="false" ht="15.75" hidden="false" customHeight="true" outlineLevel="0" collapsed="false">
      <c r="B94" s="74" t="s">
        <v>92</v>
      </c>
      <c r="C94" s="131" t="s">
        <v>93</v>
      </c>
      <c r="D94" s="131"/>
      <c r="E94" s="132" t="n">
        <f aca="false">PERC_PIS</f>
        <v>0.65</v>
      </c>
      <c r="F94" s="133" t="n">
        <f aca="false">((MOD_1_REMUNERACAO+MOD_2_ENCARGOS_BENEFICIOS+MOD_3_PROVISAO_RESCISAO+MOD_4_CUSTO_REPOSICAO+MOD_5_INSUMOS+AL_6_A_CUSTOS_INDIRETOS+AL_6_B_LUCRO)*PERC_PIS%)/(1-PERC_TRIBUTOS%)</f>
        <v>24.1746404023401</v>
      </c>
    </row>
    <row r="95" customFormat="false" ht="16.5" hidden="false" customHeight="true" outlineLevel="0" collapsed="false">
      <c r="B95" s="74" t="s">
        <v>94</v>
      </c>
      <c r="C95" s="134" t="s">
        <v>95</v>
      </c>
      <c r="D95" s="134"/>
      <c r="E95" s="135" t="n">
        <f aca="false">PERC_COFINS</f>
        <v>3</v>
      </c>
      <c r="F95" s="136" t="n">
        <f aca="false">((MOD_1_REMUNERACAO+MOD_2_ENCARGOS_BENEFICIOS+MOD_3_PROVISAO_RESCISAO+MOD_4_CUSTO_REPOSICAO+MOD_5_INSUMOS+AL_6_A_CUSTOS_INDIRETOS+AL_6_B_LUCRO)*PERC_COFINS%)/(1-PERC_TRIBUTOS%)</f>
        <v>111.575263395416</v>
      </c>
    </row>
    <row r="96" s="68" customFormat="true" ht="16.5" hidden="false" customHeight="true" outlineLevel="0" collapsed="false">
      <c r="B96" s="74" t="s">
        <v>96</v>
      </c>
      <c r="C96" s="131" t="s">
        <v>97</v>
      </c>
      <c r="D96" s="131"/>
      <c r="E96" s="132" t="n">
        <f aca="false">PERC_ISS</f>
        <v>5</v>
      </c>
      <c r="F96" s="133" t="n">
        <f aca="false">((MOD_1_REMUNERACAO+MOD_2_ENCARGOS_BENEFICIOS+MOD_3_PROVISAO_RESCISAO+MOD_4_CUSTO_REPOSICAO+MOD_5_INSUMOS+AL_6_A_CUSTOS_INDIRETOS+AL_6_B_LUCRO)*PERC_ISS%)/(1-PERC_TRIBUTOS%)</f>
        <v>185.958772325693</v>
      </c>
    </row>
    <row r="97" s="68" customFormat="true" ht="16.5" hidden="false" customHeight="false" outlineLevel="0" collapsed="false">
      <c r="B97" s="60" t="s">
        <v>155</v>
      </c>
      <c r="C97" s="60"/>
      <c r="D97" s="60"/>
      <c r="E97" s="60"/>
      <c r="F97" s="137" t="n">
        <f aca="false">AL_6_A_CUSTOS_INDIRETOS+AL_6_B_LUCRO+AL_6_C_TRIBUTOS</f>
        <v>646.309655535762</v>
      </c>
    </row>
    <row r="98" s="68" customFormat="true" ht="20.25" hidden="false" customHeight="false" outlineLevel="0" collapsed="false">
      <c r="B98" s="138" t="s">
        <v>193</v>
      </c>
      <c r="C98" s="139"/>
      <c r="D98" s="139"/>
      <c r="E98" s="139"/>
      <c r="F98" s="140"/>
    </row>
    <row r="99" s="69" customFormat="true" ht="16.5" hidden="false" customHeight="true" outlineLevel="0" collapsed="false">
      <c r="B99" s="42" t="s">
        <v>194</v>
      </c>
      <c r="C99" s="41" t="s">
        <v>195</v>
      </c>
      <c r="D99" s="41"/>
      <c r="E99" s="41"/>
      <c r="F99" s="42" t="s">
        <v>196</v>
      </c>
    </row>
    <row r="100" s="68" customFormat="true" ht="16.5" hidden="false" customHeight="true" outlineLevel="0" collapsed="false">
      <c r="B100" s="19" t="n">
        <v>1</v>
      </c>
      <c r="C100" s="72" t="s">
        <v>44</v>
      </c>
      <c r="D100" s="72"/>
      <c r="E100" s="72"/>
      <c r="F100" s="85" t="n">
        <f aca="false">MOD_1_REMUNERACAO</f>
        <v>1200.68</v>
      </c>
    </row>
    <row r="101" s="71" customFormat="true" ht="16.5" hidden="false" customHeight="true" outlineLevel="0" collapsed="false">
      <c r="B101" s="42" t="n">
        <v>2</v>
      </c>
      <c r="C101" s="23" t="s">
        <v>197</v>
      </c>
      <c r="D101" s="23"/>
      <c r="E101" s="23"/>
      <c r="F101" s="87" t="n">
        <f aca="false">MOD_2_ENCARGOS_BENEFICIOS</f>
        <v>1328.874949664</v>
      </c>
    </row>
    <row r="102" s="71" customFormat="true" ht="16.5" hidden="false" customHeight="true" outlineLevel="0" collapsed="false">
      <c r="B102" s="42" t="n">
        <v>3</v>
      </c>
      <c r="C102" s="72" t="s">
        <v>115</v>
      </c>
      <c r="D102" s="72"/>
      <c r="E102" s="72"/>
      <c r="F102" s="85" t="n">
        <f aca="false">MOD_3_PROVISAO_RESCISAO</f>
        <v>42.3681121672384</v>
      </c>
    </row>
    <row r="103" s="71" customFormat="true" ht="16.5" hidden="false" customHeight="true" outlineLevel="0" collapsed="false">
      <c r="B103" s="42" t="n">
        <v>4</v>
      </c>
      <c r="C103" s="23" t="s">
        <v>198</v>
      </c>
      <c r="D103" s="23"/>
      <c r="E103" s="23"/>
      <c r="F103" s="87" t="n">
        <f aca="false">MOD_4_CUSTO_REPOSICAO</f>
        <v>276.481729146858</v>
      </c>
    </row>
    <row r="104" s="71" customFormat="true" ht="16.5" hidden="false" customHeight="true" outlineLevel="0" collapsed="false">
      <c r="B104" s="42" t="n">
        <v>5</v>
      </c>
      <c r="C104" s="72" t="s">
        <v>82</v>
      </c>
      <c r="D104" s="72"/>
      <c r="E104" s="72"/>
      <c r="F104" s="85" t="n">
        <f aca="false">MOD_5_INSUMOS</f>
        <v>224.461</v>
      </c>
    </row>
    <row r="105" s="71" customFormat="true" ht="16.5" hidden="false" customHeight="true" outlineLevel="0" collapsed="false">
      <c r="B105" s="42" t="n">
        <v>6</v>
      </c>
      <c r="C105" s="23" t="s">
        <v>89</v>
      </c>
      <c r="D105" s="23"/>
      <c r="E105" s="23"/>
      <c r="F105" s="87" t="n">
        <f aca="false">MOD_6_CUSTOS_IND_LUCRO_TRIB</f>
        <v>646.309655535762</v>
      </c>
    </row>
    <row r="106" customFormat="false" ht="16.5" hidden="false" customHeight="true" outlineLevel="0" collapsed="false">
      <c r="B106" s="41" t="s">
        <v>199</v>
      </c>
      <c r="C106" s="41"/>
      <c r="D106" s="41"/>
      <c r="E106" s="41"/>
      <c r="F106" s="137" t="n">
        <f aca="false">SUM(F100:F105)</f>
        <v>3719.17544651386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7" t="n">
        <f aca="false">VALOR_TOTAL_EMPREGADO*EMPREG_POR_POSTO</f>
        <v>3719.17544651386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7" t="n">
        <f aca="false">VALOR_TOTAL_EMPREGADO*EMPREG_POR_POSTO*QTDE_POSTOS</f>
        <v>3719.17544651386</v>
      </c>
    </row>
  </sheetData>
  <sheetProtection sheet="true" objects="true" scenarios="true"/>
  <mergeCells count="97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B55:E55"/>
    <mergeCell ref="C57:D57"/>
    <mergeCell ref="C58:D58"/>
    <mergeCell ref="C59:D59"/>
    <mergeCell ref="C60:D60"/>
    <mergeCell ref="C61:D61"/>
    <mergeCell ref="C62:D62"/>
    <mergeCell ref="C63:D63"/>
    <mergeCell ref="B64:E64"/>
    <mergeCell ref="C68:D68"/>
    <mergeCell ref="C69:D69"/>
    <mergeCell ref="C70:D70"/>
    <mergeCell ref="C71:D71"/>
    <mergeCell ref="C72:D72"/>
    <mergeCell ref="C73:D73"/>
    <mergeCell ref="C74:D74"/>
    <mergeCell ref="B75:E75"/>
    <mergeCell ref="C77:E77"/>
    <mergeCell ref="C78:E78"/>
    <mergeCell ref="B79:E79"/>
    <mergeCell ref="C82:E82"/>
    <mergeCell ref="C83:E83"/>
    <mergeCell ref="C84:E84"/>
    <mergeCell ref="C85:E85"/>
    <mergeCell ref="C86:E86"/>
    <mergeCell ref="B87:E87"/>
    <mergeCell ref="B89:F89"/>
    <mergeCell ref="C90:D90"/>
    <mergeCell ref="C91:D91"/>
    <mergeCell ref="C92:D92"/>
    <mergeCell ref="C93:D93"/>
    <mergeCell ref="C94:D94"/>
    <mergeCell ref="C95:D95"/>
    <mergeCell ref="C96:D96"/>
    <mergeCell ref="B97:E97"/>
    <mergeCell ref="C99:E99"/>
    <mergeCell ref="C100:E100"/>
    <mergeCell ref="C101:E101"/>
    <mergeCell ref="C102:E102"/>
    <mergeCell ref="C103:E103"/>
    <mergeCell ref="C104:E104"/>
    <mergeCell ref="C105:E105"/>
    <mergeCell ref="B106:E106"/>
    <mergeCell ref="B107:E107"/>
    <mergeCell ref="B108:E108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2020-06-14T15:51:57Z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